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64011"/>
  <mc:AlternateContent xmlns:mc="http://schemas.openxmlformats.org/markup-compatibility/2006">
    <mc:Choice Requires="x15">
      <x15ac:absPath xmlns:x15ac="http://schemas.microsoft.com/office/spreadsheetml/2010/11/ac" url="Z:\Программы\Проекты лесопеработки\Формы справок\"/>
    </mc:Choice>
  </mc:AlternateContent>
  <workbookProtection workbookAlgorithmName="SHA-512" workbookHashValue="mD9bG5XrkkVJkaZkuMVAbNawaAqOc+Z+KwW8Q6WIaAkV1lVxSxaIE8BNy29Vdc/JjpQFjFC25TLIAjjHjLfeJA==" workbookSaltValue="zDGlJHfXmlq3NrfDnhqOUg==" workbookSpinCount="100000" lockStructure="1"/>
  <bookViews>
    <workbookView xWindow="0" yWindow="0" windowWidth="28800" windowHeight="12495" tabRatio="702"/>
  </bookViews>
  <sheets>
    <sheet name="Титульный лист" sheetId="1" r:id="rId1"/>
    <sheet name="Содержание" sheetId="25" r:id="rId2"/>
    <sheet name="Обращение" sheetId="3" r:id="rId3"/>
    <sheet name="Программы финансирования" sheetId="6" r:id="rId4"/>
    <sheet name="Руководство" sheetId="32" r:id="rId5"/>
    <sheet name="Параметры займа" sheetId="7" r:id="rId6"/>
    <sheet name="Квартальная отчетность" sheetId="11" r:id="rId7"/>
    <sheet name="Выводы" sheetId="31" r:id="rId8"/>
  </sheets>
  <definedNames>
    <definedName name="Дата_погашения_Займа">'Параметры займа'!$J$22</definedName>
    <definedName name="Дата_получения_Займа">'Параметры займа'!$E$22</definedName>
    <definedName name="Единица_измерения">'Параметры займа'!$J$13</definedName>
    <definedName name="_xlnm.Print_Titles" localSheetId="7">Выводы!$1:$5</definedName>
    <definedName name="_xlnm.Print_Titles" localSheetId="4">Руководство!$2:$5</definedName>
    <definedName name="Имя_Проекта">'Параметры займа'!$B$7</definedName>
    <definedName name="Кварталов_в_году">'Параметры займа'!$J$16</definedName>
    <definedName name="Месяцев_в_году">'Параметры займа'!$J$14</definedName>
    <definedName name="Месяцев_в_квартале">'Параметры займа'!$J$15</definedName>
    <definedName name="_xlnm.Print_Area" localSheetId="7">Выводы!$B$2:$M$69</definedName>
    <definedName name="_xlnm.Print_Area" localSheetId="2">Обращение!$A$1:$R$37</definedName>
    <definedName name="_xlnm.Print_Area" localSheetId="5">'Параметры займа'!$A$1:$AI$61</definedName>
    <definedName name="_xlnm.Print_Area" localSheetId="3">'Программы финансирования'!$A$1:$O$25,'Программы финансирования'!$A$26:$BS$1048576</definedName>
    <definedName name="_xlnm.Print_Area" localSheetId="4">Руководство!$B$2:$O$43</definedName>
    <definedName name="_xlnm.Print_Area" localSheetId="0">'Титульный лист'!$A$1:$I$22</definedName>
    <definedName name="Программа">'Параметры займа'!$E$19</definedName>
    <definedName name="Регион">'Параметры займа'!$E$11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P33" i="11" l="1"/>
  <c r="Q33" i="11"/>
  <c r="R33" i="11"/>
  <c r="S33" i="11"/>
  <c r="T33" i="11"/>
  <c r="U33" i="11"/>
  <c r="V33" i="11"/>
  <c r="W33" i="11"/>
  <c r="X33" i="11"/>
  <c r="Y33" i="11"/>
  <c r="Z33" i="11"/>
  <c r="AA33" i="11"/>
  <c r="AB33" i="11"/>
  <c r="AC33" i="11"/>
  <c r="AD33" i="11"/>
  <c r="O33" i="11"/>
  <c r="AD89" i="11" l="1"/>
  <c r="D62" i="11"/>
  <c r="J89" i="11"/>
  <c r="K89" i="11"/>
  <c r="L89" i="11"/>
  <c r="M89" i="11"/>
  <c r="N89" i="11"/>
  <c r="O89" i="11"/>
  <c r="P89" i="11"/>
  <c r="Q89" i="11"/>
  <c r="R89" i="11"/>
  <c r="S89" i="11"/>
  <c r="T89" i="11"/>
  <c r="U89" i="11"/>
  <c r="V89" i="11"/>
  <c r="W89" i="11"/>
  <c r="X89" i="11"/>
  <c r="Y89" i="11"/>
  <c r="Z89" i="11"/>
  <c r="AA89" i="11"/>
  <c r="AB89" i="11"/>
  <c r="AC89" i="11"/>
  <c r="P76" i="11"/>
  <c r="Q76" i="11"/>
  <c r="R76" i="11"/>
  <c r="S76" i="11"/>
  <c r="T76" i="11"/>
  <c r="U76" i="11"/>
  <c r="V76" i="11"/>
  <c r="W76" i="11"/>
  <c r="X76" i="11"/>
  <c r="Y76" i="11"/>
  <c r="Z76" i="11"/>
  <c r="AA76" i="11"/>
  <c r="AB76" i="11"/>
  <c r="AC76" i="11"/>
  <c r="AD76" i="11"/>
  <c r="O76" i="11"/>
  <c r="O160" i="11" s="1"/>
  <c r="P160" i="11" s="1"/>
  <c r="Q160" i="11" s="1"/>
  <c r="R160" i="11" s="1"/>
  <c r="S160" i="11" s="1"/>
  <c r="T160" i="11" s="1"/>
  <c r="U160" i="11" s="1"/>
  <c r="V160" i="11" s="1"/>
  <c r="W160" i="11" s="1"/>
  <c r="X160" i="11" s="1"/>
  <c r="Y160" i="11" s="1"/>
  <c r="Z160" i="11" s="1"/>
  <c r="AA160" i="11" s="1"/>
  <c r="AB160" i="11" s="1"/>
  <c r="AC160" i="11" s="1"/>
  <c r="AD160" i="11" s="1"/>
  <c r="N160" i="11"/>
  <c r="K86" i="11"/>
  <c r="L86" i="11"/>
  <c r="M86" i="11"/>
  <c r="N86" i="11"/>
  <c r="O86" i="11"/>
  <c r="P86" i="11"/>
  <c r="Q86" i="11"/>
  <c r="R86" i="11"/>
  <c r="S86" i="11"/>
  <c r="T86" i="11"/>
  <c r="U86" i="11"/>
  <c r="V86" i="11"/>
  <c r="W86" i="11"/>
  <c r="X86" i="11"/>
  <c r="Y86" i="11"/>
  <c r="Z86" i="11"/>
  <c r="AA86" i="11"/>
  <c r="AB86" i="11"/>
  <c r="AC86" i="11"/>
  <c r="AD86" i="11"/>
  <c r="J86" i="11"/>
  <c r="E51" i="11"/>
  <c r="F51" i="11"/>
  <c r="G51" i="11"/>
  <c r="H51" i="11"/>
  <c r="X21" i="11" l="1"/>
  <c r="W21" i="11"/>
  <c r="V21" i="11"/>
  <c r="U21" i="11"/>
  <c r="T21" i="11"/>
  <c r="S21" i="11"/>
  <c r="R21" i="11"/>
  <c r="Q21" i="11"/>
  <c r="P21" i="11"/>
  <c r="O21" i="11"/>
  <c r="J21" i="11"/>
  <c r="K21" i="11"/>
  <c r="L21" i="11"/>
  <c r="M21" i="11"/>
  <c r="N21" i="11"/>
  <c r="D2" i="31" l="1"/>
  <c r="G82" i="11"/>
  <c r="F82" i="11"/>
  <c r="E82" i="11"/>
  <c r="Y147" i="11"/>
  <c r="F147" i="11"/>
  <c r="G147" i="11"/>
  <c r="H147" i="11"/>
  <c r="I147" i="11"/>
  <c r="E147" i="11"/>
  <c r="AA93" i="11"/>
  <c r="AA147" i="11" s="1"/>
  <c r="AB93" i="11"/>
  <c r="AB147" i="11" s="1"/>
  <c r="AC93" i="11"/>
  <c r="AC147" i="11" s="1"/>
  <c r="AD93" i="11"/>
  <c r="AD147" i="11" s="1"/>
  <c r="P93" i="11"/>
  <c r="P147" i="11" s="1"/>
  <c r="Q93" i="11"/>
  <c r="Q147" i="11" s="1"/>
  <c r="R93" i="11"/>
  <c r="R147" i="11" s="1"/>
  <c r="S93" i="11"/>
  <c r="S147" i="11" s="1"/>
  <c r="T93" i="11"/>
  <c r="T147" i="11" s="1"/>
  <c r="U93" i="11"/>
  <c r="U147" i="11" s="1"/>
  <c r="V93" i="11"/>
  <c r="V147" i="11" s="1"/>
  <c r="W93" i="11"/>
  <c r="W147" i="11" s="1"/>
  <c r="X93" i="11"/>
  <c r="X147" i="11" s="1"/>
  <c r="Y93" i="11"/>
  <c r="Z93" i="11"/>
  <c r="Z147" i="11" s="1"/>
  <c r="K93" i="11"/>
  <c r="K147" i="11" s="1"/>
  <c r="L93" i="11"/>
  <c r="L147" i="11" s="1"/>
  <c r="M93" i="11"/>
  <c r="M147" i="11" s="1"/>
  <c r="N93" i="11"/>
  <c r="N147" i="11" s="1"/>
  <c r="O93" i="11"/>
  <c r="O147" i="11" s="1"/>
  <c r="J93" i="11"/>
  <c r="J147" i="11" s="1"/>
  <c r="K12" i="31" l="1"/>
  <c r="J12" i="31"/>
  <c r="I12" i="31"/>
  <c r="H12" i="31"/>
  <c r="G12" i="31"/>
  <c r="F12" i="31"/>
  <c r="C13" i="31"/>
  <c r="B13" i="31"/>
  <c r="D12" i="31" l="1"/>
  <c r="K266" i="11"/>
  <c r="J266" i="11"/>
  <c r="I266" i="11"/>
  <c r="H266" i="11"/>
  <c r="G266" i="11"/>
  <c r="K249" i="11"/>
  <c r="J249" i="11"/>
  <c r="I249" i="11"/>
  <c r="H249" i="11"/>
  <c r="G249" i="11"/>
  <c r="E249" i="11"/>
  <c r="C261" i="11" l="1"/>
  <c r="K259" i="11"/>
  <c r="K261" i="11" s="1"/>
  <c r="J259" i="11"/>
  <c r="J261" i="11" s="1"/>
  <c r="I259" i="11"/>
  <c r="I261" i="11" s="1"/>
  <c r="H259" i="11"/>
  <c r="H261" i="11" s="1"/>
  <c r="G259" i="11"/>
  <c r="G261" i="11" s="1"/>
  <c r="F259" i="11"/>
  <c r="F261" i="11" s="1"/>
  <c r="E259" i="11"/>
  <c r="E261" i="11" s="1"/>
  <c r="D259" i="11"/>
  <c r="D261" i="11" s="1"/>
  <c r="C259" i="11"/>
  <c r="C258" i="11"/>
  <c r="C257" i="11"/>
  <c r="C256" i="11"/>
  <c r="C255" i="11"/>
  <c r="C254" i="11"/>
  <c r="C244" i="11"/>
  <c r="K242" i="11"/>
  <c r="K244" i="11" s="1"/>
  <c r="J242" i="11"/>
  <c r="J244" i="11" s="1"/>
  <c r="I242" i="11"/>
  <c r="I244" i="11" s="1"/>
  <c r="H242" i="11"/>
  <c r="H244" i="11" s="1"/>
  <c r="G242" i="11"/>
  <c r="G244" i="11" s="1"/>
  <c r="F242" i="11"/>
  <c r="F244" i="11" s="1"/>
  <c r="E242" i="11"/>
  <c r="E244" i="11" s="1"/>
  <c r="D242" i="11"/>
  <c r="D244" i="11" s="1"/>
  <c r="C242" i="11"/>
  <c r="C241" i="11"/>
  <c r="C240" i="11"/>
  <c r="C239" i="11"/>
  <c r="C238" i="11"/>
  <c r="C237" i="11"/>
  <c r="C236" i="11"/>
  <c r="C235" i="11"/>
  <c r="C223" i="11"/>
  <c r="D252" i="11" s="1"/>
  <c r="E252" i="11" s="1"/>
  <c r="F252" i="11" s="1"/>
  <c r="G252" i="11" s="1"/>
  <c r="H252" i="11" s="1"/>
  <c r="I252" i="11" s="1"/>
  <c r="J252" i="11" s="1"/>
  <c r="K252" i="11" s="1"/>
  <c r="H262" i="11" l="1"/>
  <c r="E262" i="11"/>
  <c r="E265" i="11" s="1"/>
  <c r="F262" i="11"/>
  <c r="F265" i="11" s="1"/>
  <c r="J262" i="11"/>
  <c r="G262" i="11"/>
  <c r="G265" i="11" s="1"/>
  <c r="K262" i="11"/>
  <c r="F245" i="11"/>
  <c r="F248" i="11" s="1"/>
  <c r="G245" i="11"/>
  <c r="G248" i="11" s="1"/>
  <c r="H245" i="11"/>
  <c r="I263" i="11"/>
  <c r="I265" i="11" s="1"/>
  <c r="I262" i="11"/>
  <c r="E245" i="11"/>
  <c r="E248" i="11" s="1"/>
  <c r="I245" i="11"/>
  <c r="J245" i="11"/>
  <c r="K245" i="11"/>
  <c r="F266" i="11"/>
  <c r="E266" i="11"/>
  <c r="F249" i="11"/>
  <c r="D226" i="11"/>
  <c r="E226" i="11" s="1"/>
  <c r="F226" i="11" s="1"/>
  <c r="G226" i="11" s="1"/>
  <c r="H226" i="11" s="1"/>
  <c r="I226" i="11" s="1"/>
  <c r="J226" i="11" s="1"/>
  <c r="K226" i="11" s="1"/>
  <c r="D233" i="11"/>
  <c r="E233" i="11" s="1"/>
  <c r="F233" i="11" s="1"/>
  <c r="G233" i="11" s="1"/>
  <c r="H233" i="11" s="1"/>
  <c r="I233" i="11" s="1"/>
  <c r="J233" i="11" s="1"/>
  <c r="K233" i="11" s="1"/>
  <c r="E263" i="11"/>
  <c r="H246" i="11"/>
  <c r="H248" i="11" s="1"/>
  <c r="F246" i="11"/>
  <c r="J246" i="11"/>
  <c r="J248" i="11" s="1"/>
  <c r="K263" i="11"/>
  <c r="K265" i="11" s="1"/>
  <c r="E246" i="11"/>
  <c r="I246" i="11"/>
  <c r="I248" i="11" s="1"/>
  <c r="H263" i="11"/>
  <c r="H265" i="11" s="1"/>
  <c r="G246" i="11"/>
  <c r="K246" i="11"/>
  <c r="K248" i="11" s="1"/>
  <c r="F263" i="11"/>
  <c r="J263" i="11"/>
  <c r="J265" i="11" s="1"/>
  <c r="G263" i="11"/>
  <c r="D47" i="11" l="1"/>
  <c r="C47" i="11"/>
  <c r="B15" i="7" l="1"/>
  <c r="B14" i="7"/>
  <c r="J9" i="7"/>
  <c r="C269" i="11" s="1"/>
  <c r="D269" i="11" s="1"/>
  <c r="E269" i="11" s="1"/>
  <c r="F269" i="11" s="1"/>
  <c r="G269" i="11" s="1"/>
  <c r="H269" i="11" s="1"/>
  <c r="I269" i="11" s="1"/>
  <c r="J269" i="11" s="1"/>
  <c r="AD88" i="11" l="1"/>
  <c r="AD149" i="11" s="1"/>
  <c r="AC88" i="11"/>
  <c r="AC149" i="11" s="1"/>
  <c r="AB88" i="11"/>
  <c r="AB149" i="11" s="1"/>
  <c r="AA88" i="11"/>
  <c r="AA95" i="11" s="1"/>
  <c r="Z88" i="11"/>
  <c r="Z149" i="11" s="1"/>
  <c r="Y88" i="11"/>
  <c r="Y149" i="11" s="1"/>
  <c r="X88" i="11"/>
  <c r="X149" i="11" s="1"/>
  <c r="W88" i="11"/>
  <c r="W95" i="11" s="1"/>
  <c r="V88" i="11"/>
  <c r="V149" i="11" s="1"/>
  <c r="U88" i="11"/>
  <c r="U149" i="11" s="1"/>
  <c r="T88" i="11"/>
  <c r="T149" i="11" s="1"/>
  <c r="S88" i="11"/>
  <c r="S95" i="11" s="1"/>
  <c r="R88" i="11"/>
  <c r="R149" i="11" s="1"/>
  <c r="Q88" i="11"/>
  <c r="Q149" i="11" s="1"/>
  <c r="P88" i="11"/>
  <c r="P149" i="11" s="1"/>
  <c r="O88" i="11"/>
  <c r="O149" i="11" s="1"/>
  <c r="N88" i="11"/>
  <c r="N95" i="11" s="1"/>
  <c r="M88" i="11"/>
  <c r="M95" i="11" s="1"/>
  <c r="L88" i="11"/>
  <c r="L149" i="11" s="1"/>
  <c r="K88" i="11"/>
  <c r="K149" i="11" s="1"/>
  <c r="J88" i="11"/>
  <c r="J149" i="11" s="1"/>
  <c r="I88" i="11"/>
  <c r="I95" i="11" s="1"/>
  <c r="H88" i="11"/>
  <c r="H149" i="11" s="1"/>
  <c r="G88" i="11"/>
  <c r="G149" i="11" s="1"/>
  <c r="F88" i="11"/>
  <c r="F149" i="11" s="1"/>
  <c r="B9" i="1"/>
  <c r="F19" i="7"/>
  <c r="F20" i="7"/>
  <c r="D21" i="7"/>
  <c r="F21" i="7"/>
  <c r="F22" i="7"/>
  <c r="D23" i="7"/>
  <c r="D24" i="7"/>
  <c r="F24" i="7"/>
  <c r="F25" i="7"/>
  <c r="E88" i="11"/>
  <c r="E149" i="11" s="1"/>
  <c r="AD148" i="11"/>
  <c r="AC148" i="11"/>
  <c r="AB148" i="11"/>
  <c r="AA148" i="11"/>
  <c r="Z148" i="11"/>
  <c r="Y148" i="11"/>
  <c r="X148" i="11"/>
  <c r="W148" i="11"/>
  <c r="V148" i="11"/>
  <c r="U148" i="11"/>
  <c r="T148" i="11"/>
  <c r="S148" i="11"/>
  <c r="R148" i="11"/>
  <c r="Q148" i="11"/>
  <c r="P148" i="11"/>
  <c r="O148" i="11"/>
  <c r="N148" i="11"/>
  <c r="M148" i="11"/>
  <c r="L148" i="11"/>
  <c r="K148" i="11"/>
  <c r="J148" i="11"/>
  <c r="I148" i="11"/>
  <c r="H148" i="11"/>
  <c r="G148" i="11"/>
  <c r="F148" i="11"/>
  <c r="E148" i="11"/>
  <c r="V95" i="11" l="1"/>
  <c r="N149" i="11"/>
  <c r="Z95" i="11"/>
  <c r="S149" i="11"/>
  <c r="K95" i="11"/>
  <c r="J95" i="11"/>
  <c r="W149" i="11"/>
  <c r="AA149" i="11"/>
  <c r="O95" i="11"/>
  <c r="I149" i="11"/>
  <c r="G95" i="11"/>
  <c r="M149" i="11"/>
  <c r="AC95" i="11"/>
  <c r="E95" i="11"/>
  <c r="F95" i="11"/>
  <c r="R95" i="11"/>
  <c r="Y95" i="11"/>
  <c r="AD95" i="11"/>
  <c r="Q95" i="11"/>
  <c r="U95" i="11"/>
  <c r="D25" i="7"/>
  <c r="D88" i="11"/>
  <c r="H95" i="11"/>
  <c r="L95" i="11"/>
  <c r="P95" i="11"/>
  <c r="T95" i="11"/>
  <c r="X95" i="11"/>
  <c r="AB95" i="11"/>
  <c r="C26" i="31" l="1"/>
  <c r="AD201" i="11"/>
  <c r="AC201" i="11"/>
  <c r="AB201" i="11"/>
  <c r="AA201" i="11"/>
  <c r="Z201" i="11"/>
  <c r="Y201" i="11"/>
  <c r="X201" i="11"/>
  <c r="W201" i="11"/>
  <c r="V201" i="11"/>
  <c r="U201" i="11"/>
  <c r="T201" i="11"/>
  <c r="S201" i="11"/>
  <c r="R201" i="11"/>
  <c r="Q201" i="11"/>
  <c r="P201" i="11"/>
  <c r="O201" i="11"/>
  <c r="N201" i="11"/>
  <c r="M201" i="11"/>
  <c r="L201" i="11"/>
  <c r="K201" i="11"/>
  <c r="J201" i="11"/>
  <c r="I201" i="11"/>
  <c r="H201" i="11"/>
  <c r="G201" i="11"/>
  <c r="F201" i="11"/>
  <c r="E201" i="11"/>
  <c r="C189" i="11"/>
  <c r="I185" i="11"/>
  <c r="H185" i="11"/>
  <c r="G185" i="11"/>
  <c r="F185" i="11"/>
  <c r="E185" i="11"/>
  <c r="AD165" i="11"/>
  <c r="AC165" i="11"/>
  <c r="AB165" i="11"/>
  <c r="AA165" i="11"/>
  <c r="Z165" i="11"/>
  <c r="Y165" i="11"/>
  <c r="X165" i="11"/>
  <c r="W165" i="11"/>
  <c r="V165" i="11"/>
  <c r="U165" i="11"/>
  <c r="T165" i="11"/>
  <c r="S165" i="11"/>
  <c r="R165" i="11"/>
  <c r="Q165" i="11"/>
  <c r="P165" i="11"/>
  <c r="O165" i="11"/>
  <c r="N165" i="11"/>
  <c r="M165" i="11"/>
  <c r="L165" i="11"/>
  <c r="K165" i="11"/>
  <c r="J165" i="11"/>
  <c r="I165" i="11"/>
  <c r="H165" i="11"/>
  <c r="G165" i="11"/>
  <c r="F165" i="11"/>
  <c r="E165" i="11"/>
  <c r="AD120" i="11"/>
  <c r="AC120" i="11"/>
  <c r="AB120" i="11"/>
  <c r="AA120" i="11"/>
  <c r="Z120" i="11"/>
  <c r="Y120" i="11"/>
  <c r="X120" i="11"/>
  <c r="W120" i="11"/>
  <c r="V120" i="11"/>
  <c r="U120" i="11"/>
  <c r="T120" i="11"/>
  <c r="S120" i="11"/>
  <c r="R120" i="11"/>
  <c r="Q120" i="11"/>
  <c r="P120" i="11"/>
  <c r="O120" i="11"/>
  <c r="N120" i="11"/>
  <c r="M120" i="11"/>
  <c r="L120" i="11"/>
  <c r="K120" i="11"/>
  <c r="I120" i="11"/>
  <c r="H120" i="11"/>
  <c r="G120" i="11"/>
  <c r="F120" i="11"/>
  <c r="E120" i="11"/>
  <c r="J120" i="11"/>
  <c r="AD126" i="11" l="1"/>
  <c r="AC126" i="11"/>
  <c r="AB126" i="11"/>
  <c r="AA126" i="11"/>
  <c r="Z126" i="11"/>
  <c r="Y126" i="11"/>
  <c r="X126" i="11"/>
  <c r="W126" i="11"/>
  <c r="V126" i="11"/>
  <c r="U126" i="11"/>
  <c r="T126" i="11"/>
  <c r="S126" i="11"/>
  <c r="R126" i="11"/>
  <c r="Q126" i="11"/>
  <c r="P126" i="11"/>
  <c r="O126" i="11"/>
  <c r="N126" i="11"/>
  <c r="M126" i="11"/>
  <c r="L126" i="11"/>
  <c r="K126" i="11"/>
  <c r="J126" i="11"/>
  <c r="I126" i="11"/>
  <c r="H126" i="11"/>
  <c r="G126" i="11"/>
  <c r="F126" i="11"/>
  <c r="E126" i="11"/>
  <c r="AD114" i="11"/>
  <c r="AC114" i="11"/>
  <c r="AB114" i="11"/>
  <c r="AA114" i="11"/>
  <c r="Z114" i="11"/>
  <c r="Y114" i="11"/>
  <c r="X114" i="11"/>
  <c r="W114" i="11"/>
  <c r="V114" i="11"/>
  <c r="U114" i="11"/>
  <c r="T114" i="11"/>
  <c r="S114" i="11"/>
  <c r="R114" i="11"/>
  <c r="Q114" i="11"/>
  <c r="P114" i="11"/>
  <c r="O114" i="11"/>
  <c r="N114" i="11"/>
  <c r="M114" i="11"/>
  <c r="L114" i="11"/>
  <c r="K114" i="11"/>
  <c r="J114" i="11"/>
  <c r="I114" i="11"/>
  <c r="H114" i="11"/>
  <c r="G114" i="11"/>
  <c r="F114" i="11"/>
  <c r="E114" i="11"/>
  <c r="AD106" i="11"/>
  <c r="AC106" i="11"/>
  <c r="AB106" i="11"/>
  <c r="AA106" i="11"/>
  <c r="Z106" i="11"/>
  <c r="Y106" i="11"/>
  <c r="X106" i="11"/>
  <c r="W106" i="11"/>
  <c r="V106" i="11"/>
  <c r="U106" i="11"/>
  <c r="T106" i="11"/>
  <c r="S106" i="11"/>
  <c r="R106" i="11"/>
  <c r="Q106" i="11"/>
  <c r="P106" i="11"/>
  <c r="O106" i="11"/>
  <c r="N106" i="11"/>
  <c r="M106" i="11"/>
  <c r="L106" i="11"/>
  <c r="K106" i="11"/>
  <c r="J106" i="11"/>
  <c r="I106" i="11"/>
  <c r="H106" i="11"/>
  <c r="G106" i="11"/>
  <c r="F106" i="11"/>
  <c r="E106" i="11"/>
  <c r="I83" i="11"/>
  <c r="I97" i="11" s="1"/>
  <c r="H83" i="11"/>
  <c r="G83" i="11"/>
  <c r="G97" i="11" s="1"/>
  <c r="F83" i="11"/>
  <c r="I54" i="11"/>
  <c r="I55" i="11" s="1"/>
  <c r="H54" i="11"/>
  <c r="G54" i="11"/>
  <c r="G58" i="11" s="1"/>
  <c r="F54" i="11"/>
  <c r="F55" i="11" s="1"/>
  <c r="AD18" i="11"/>
  <c r="AC18" i="11"/>
  <c r="AB18" i="11"/>
  <c r="AA18" i="11"/>
  <c r="Z18" i="11"/>
  <c r="Y18" i="11"/>
  <c r="X18" i="11"/>
  <c r="W18" i="11"/>
  <c r="V18" i="11"/>
  <c r="U18" i="11"/>
  <c r="T18" i="11"/>
  <c r="S18" i="11"/>
  <c r="R18" i="11"/>
  <c r="Q18" i="11"/>
  <c r="P18" i="11"/>
  <c r="O18" i="11"/>
  <c r="N18" i="11"/>
  <c r="M18" i="11"/>
  <c r="L18" i="11"/>
  <c r="AD30" i="11"/>
  <c r="AC30" i="11"/>
  <c r="AB30" i="11"/>
  <c r="AA30" i="11"/>
  <c r="Z30" i="11"/>
  <c r="Y30" i="11"/>
  <c r="X30" i="11"/>
  <c r="W30" i="11"/>
  <c r="V30" i="11"/>
  <c r="U30" i="11"/>
  <c r="T30" i="11"/>
  <c r="S30" i="11"/>
  <c r="R30" i="11"/>
  <c r="Q30" i="11"/>
  <c r="P30" i="11"/>
  <c r="O30" i="11"/>
  <c r="N30" i="11"/>
  <c r="M30" i="11"/>
  <c r="L30" i="11"/>
  <c r="K30" i="11"/>
  <c r="AD27" i="11"/>
  <c r="AC27" i="11"/>
  <c r="AB27" i="11"/>
  <c r="AA27" i="11"/>
  <c r="Z27" i="11"/>
  <c r="Y27" i="11"/>
  <c r="X27" i="11"/>
  <c r="W27" i="11"/>
  <c r="V27" i="11"/>
  <c r="U27" i="11"/>
  <c r="T27" i="11"/>
  <c r="S27" i="11"/>
  <c r="R27" i="11"/>
  <c r="Q27" i="11"/>
  <c r="P27" i="11"/>
  <c r="O27" i="11"/>
  <c r="N27" i="11"/>
  <c r="M27" i="11"/>
  <c r="L27" i="11"/>
  <c r="K27" i="11"/>
  <c r="AD24" i="11"/>
  <c r="AC24" i="11"/>
  <c r="AB24" i="11"/>
  <c r="AA24" i="11"/>
  <c r="Z24" i="11"/>
  <c r="Y24" i="11"/>
  <c r="X24" i="11"/>
  <c r="W24" i="11"/>
  <c r="V24" i="11"/>
  <c r="U24" i="11"/>
  <c r="T24" i="11"/>
  <c r="S24" i="11"/>
  <c r="R24" i="11"/>
  <c r="Q24" i="11"/>
  <c r="P24" i="11"/>
  <c r="O24" i="11"/>
  <c r="N24" i="11"/>
  <c r="M24" i="11"/>
  <c r="L24" i="11"/>
  <c r="K24" i="11"/>
  <c r="AD21" i="11"/>
  <c r="AC21" i="11"/>
  <c r="AB21" i="11"/>
  <c r="AA21" i="11"/>
  <c r="Z21" i="11"/>
  <c r="Y21" i="11"/>
  <c r="K18" i="11"/>
  <c r="K16" i="11" l="1"/>
  <c r="V16" i="11"/>
  <c r="N16" i="11"/>
  <c r="N81" i="11" s="1"/>
  <c r="N83" i="11" s="1"/>
  <c r="N97" i="11" s="1"/>
  <c r="AD16" i="11"/>
  <c r="AD81" i="11" s="1"/>
  <c r="AD83" i="11" s="1"/>
  <c r="AD97" i="11" s="1"/>
  <c r="O16" i="11"/>
  <c r="O81" i="11" s="1"/>
  <c r="O83" i="11" s="1"/>
  <c r="O97" i="11" s="1"/>
  <c r="S16" i="11"/>
  <c r="S81" i="11" s="1"/>
  <c r="S83" i="11" s="1"/>
  <c r="S97" i="11" s="1"/>
  <c r="W16" i="11"/>
  <c r="AA16" i="11"/>
  <c r="AA81" i="11" s="1"/>
  <c r="AA83" i="11" s="1"/>
  <c r="AA97" i="11" s="1"/>
  <c r="F58" i="11"/>
  <c r="F59" i="11" s="1"/>
  <c r="R16" i="11"/>
  <c r="Z16" i="11"/>
  <c r="Z81" i="11" s="1"/>
  <c r="Z83" i="11" s="1"/>
  <c r="Z97" i="11" s="1"/>
  <c r="F97" i="11"/>
  <c r="G55" i="11"/>
  <c r="H58" i="11"/>
  <c r="H55" i="11"/>
  <c r="L16" i="11"/>
  <c r="L81" i="11" s="1"/>
  <c r="L83" i="11" s="1"/>
  <c r="L97" i="11" s="1"/>
  <c r="P16" i="11"/>
  <c r="T16" i="11"/>
  <c r="X16" i="11"/>
  <c r="AB16" i="11"/>
  <c r="G59" i="11"/>
  <c r="G65" i="11"/>
  <c r="M16" i="11"/>
  <c r="M81" i="11" s="1"/>
  <c r="M83" i="11" s="1"/>
  <c r="M97" i="11" s="1"/>
  <c r="Q16" i="11"/>
  <c r="Q81" i="11" s="1"/>
  <c r="Q83" i="11" s="1"/>
  <c r="Q97" i="11" s="1"/>
  <c r="U16" i="11"/>
  <c r="U81" i="11" s="1"/>
  <c r="U83" i="11" s="1"/>
  <c r="U97" i="11" s="1"/>
  <c r="Y16" i="11"/>
  <c r="Y81" i="11" s="1"/>
  <c r="Y83" i="11" s="1"/>
  <c r="Y97" i="11" s="1"/>
  <c r="AC16" i="11"/>
  <c r="AC81" i="11" s="1"/>
  <c r="AC83" i="11" s="1"/>
  <c r="AC97" i="11" s="1"/>
  <c r="I58" i="11"/>
  <c r="H97" i="11"/>
  <c r="AB51" i="11" l="1"/>
  <c r="AB54" i="11" s="1"/>
  <c r="AB81" i="11"/>
  <c r="AB83" i="11" s="1"/>
  <c r="AB97" i="11" s="1"/>
  <c r="T51" i="11"/>
  <c r="T44" i="11" s="1"/>
  <c r="T81" i="11"/>
  <c r="T83" i="11" s="1"/>
  <c r="T97" i="11" s="1"/>
  <c r="K51" i="11"/>
  <c r="K54" i="11" s="1"/>
  <c r="K55" i="11" s="1"/>
  <c r="K81" i="11"/>
  <c r="K83" i="11" s="1"/>
  <c r="K97" i="11" s="1"/>
  <c r="X51" i="11"/>
  <c r="X54" i="11" s="1"/>
  <c r="X81" i="11"/>
  <c r="X83" i="11" s="1"/>
  <c r="X97" i="11" s="1"/>
  <c r="P51" i="11"/>
  <c r="P54" i="11" s="1"/>
  <c r="P81" i="11"/>
  <c r="P83" i="11" s="1"/>
  <c r="P97" i="11" s="1"/>
  <c r="R51" i="11"/>
  <c r="R44" i="11" s="1"/>
  <c r="R81" i="11"/>
  <c r="R83" i="11" s="1"/>
  <c r="R97" i="11" s="1"/>
  <c r="W17" i="11"/>
  <c r="W81" i="11"/>
  <c r="W83" i="11" s="1"/>
  <c r="W97" i="11" s="1"/>
  <c r="V51" i="11"/>
  <c r="V44" i="11" s="1"/>
  <c r="V81" i="11"/>
  <c r="V83" i="11" s="1"/>
  <c r="V97" i="11" s="1"/>
  <c r="O17" i="11"/>
  <c r="U51" i="11"/>
  <c r="AD51" i="11"/>
  <c r="AC51" i="11"/>
  <c r="M51" i="11"/>
  <c r="M44" i="11" s="1"/>
  <c r="AA51" i="11"/>
  <c r="Y51" i="11"/>
  <c r="W51" i="11"/>
  <c r="W44" i="11" s="1"/>
  <c r="L51" i="11"/>
  <c r="L44" i="11" s="1"/>
  <c r="S51" i="11"/>
  <c r="Q51" i="11"/>
  <c r="Z51" i="11"/>
  <c r="O51" i="11"/>
  <c r="O44" i="11" s="1"/>
  <c r="N51" i="11"/>
  <c r="N44" i="11" s="1"/>
  <c r="AA17" i="11"/>
  <c r="S17" i="11"/>
  <c r="F65" i="11"/>
  <c r="F66" i="11" s="1"/>
  <c r="Y17" i="11"/>
  <c r="AC17" i="11"/>
  <c r="R17" i="11"/>
  <c r="M17" i="11"/>
  <c r="Z17" i="11"/>
  <c r="L17" i="11"/>
  <c r="N17" i="11"/>
  <c r="G66" i="11"/>
  <c r="G68" i="11"/>
  <c r="G69" i="11" s="1"/>
  <c r="G70" i="11"/>
  <c r="T17" i="11"/>
  <c r="H59" i="11"/>
  <c r="H65" i="11"/>
  <c r="P17" i="11"/>
  <c r="U17" i="11"/>
  <c r="I59" i="11"/>
  <c r="I65" i="11"/>
  <c r="AB17" i="11"/>
  <c r="Q17" i="11"/>
  <c r="X17" i="11"/>
  <c r="AD17" i="11"/>
  <c r="V17" i="11"/>
  <c r="D151" i="11"/>
  <c r="C151" i="11"/>
  <c r="D130" i="11"/>
  <c r="D131" i="11"/>
  <c r="D121" i="11"/>
  <c r="AB52" i="11" l="1"/>
  <c r="AB44" i="11"/>
  <c r="X44" i="11"/>
  <c r="R54" i="11"/>
  <c r="R55" i="11" s="1"/>
  <c r="K44" i="11"/>
  <c r="P44" i="11"/>
  <c r="K58" i="11"/>
  <c r="K59" i="11" s="1"/>
  <c r="T52" i="11"/>
  <c r="V54" i="11"/>
  <c r="V58" i="11" s="1"/>
  <c r="T54" i="11"/>
  <c r="T58" i="11" s="1"/>
  <c r="V52" i="11"/>
  <c r="X52" i="11"/>
  <c r="Z52" i="11"/>
  <c r="Z54" i="11"/>
  <c r="X55" i="11"/>
  <c r="X58" i="11"/>
  <c r="P58" i="11"/>
  <c r="P55" i="11"/>
  <c r="M54" i="11"/>
  <c r="M52" i="11"/>
  <c r="Q54" i="11"/>
  <c r="Q52" i="11"/>
  <c r="R52" i="11"/>
  <c r="Z44" i="11"/>
  <c r="Q44" i="11"/>
  <c r="S44" i="11"/>
  <c r="Y54" i="11"/>
  <c r="Y52" i="11"/>
  <c r="AA54" i="11"/>
  <c r="AA52" i="11"/>
  <c r="AC54" i="11"/>
  <c r="AC52" i="11"/>
  <c r="AD52" i="11"/>
  <c r="AD54" i="11"/>
  <c r="U54" i="11"/>
  <c r="U52" i="11"/>
  <c r="O54" i="11"/>
  <c r="O52" i="11"/>
  <c r="S54" i="11"/>
  <c r="S52" i="11"/>
  <c r="AB55" i="11"/>
  <c r="AB58" i="11"/>
  <c r="N52" i="11"/>
  <c r="N54" i="11"/>
  <c r="L52" i="11"/>
  <c r="L54" i="11"/>
  <c r="W54" i="11"/>
  <c r="W52" i="11"/>
  <c r="P52" i="11"/>
  <c r="Y44" i="11"/>
  <c r="AA44" i="11"/>
  <c r="AC44" i="11"/>
  <c r="AD44" i="11"/>
  <c r="U44" i="11"/>
  <c r="F70" i="11"/>
  <c r="F213" i="11" s="1"/>
  <c r="F68" i="11"/>
  <c r="F69" i="11" s="1"/>
  <c r="G213" i="11"/>
  <c r="G72" i="11"/>
  <c r="G73" i="11" s="1"/>
  <c r="G71" i="11"/>
  <c r="I70" i="11"/>
  <c r="I213" i="11" s="1"/>
  <c r="I68" i="11"/>
  <c r="I69" i="11" s="1"/>
  <c r="I66" i="11"/>
  <c r="H66" i="11"/>
  <c r="H70" i="11"/>
  <c r="H213" i="11" s="1"/>
  <c r="H68" i="11"/>
  <c r="H69" i="11" s="1"/>
  <c r="D94" i="11"/>
  <c r="D93" i="11"/>
  <c r="D92" i="11"/>
  <c r="D91" i="11"/>
  <c r="D90" i="11"/>
  <c r="D89" i="11"/>
  <c r="D87" i="11"/>
  <c r="D86" i="11"/>
  <c r="E83" i="11"/>
  <c r="E54" i="11"/>
  <c r="E55" i="11" s="1"/>
  <c r="C72" i="11"/>
  <c r="C70" i="11"/>
  <c r="I52" i="11"/>
  <c r="G52" i="11"/>
  <c r="F52" i="11"/>
  <c r="C40" i="11"/>
  <c r="E146" i="11"/>
  <c r="F146" i="11"/>
  <c r="G146" i="11"/>
  <c r="H146" i="11"/>
  <c r="I146" i="11"/>
  <c r="AD146" i="11"/>
  <c r="AC146" i="11"/>
  <c r="AB146" i="11"/>
  <c r="AA146" i="11"/>
  <c r="Z146" i="11"/>
  <c r="Y146" i="11"/>
  <c r="X146" i="11"/>
  <c r="X43" i="11" s="1"/>
  <c r="W146" i="11"/>
  <c r="W43" i="11" s="1"/>
  <c r="V146" i="11"/>
  <c r="V43" i="11" s="1"/>
  <c r="U146" i="11"/>
  <c r="T146" i="11"/>
  <c r="T43" i="11" s="1"/>
  <c r="S146" i="11"/>
  <c r="R146" i="11"/>
  <c r="R43" i="11" s="1"/>
  <c r="Q146" i="11"/>
  <c r="P146" i="11"/>
  <c r="O146" i="11"/>
  <c r="O43" i="11" s="1"/>
  <c r="N146" i="11"/>
  <c r="N43" i="11" s="1"/>
  <c r="M146" i="11"/>
  <c r="M43" i="11" s="1"/>
  <c r="L146" i="11"/>
  <c r="L43" i="11" s="1"/>
  <c r="K146" i="11"/>
  <c r="J146" i="11"/>
  <c r="D152" i="11"/>
  <c r="C152" i="11"/>
  <c r="D150" i="11"/>
  <c r="C150" i="11"/>
  <c r="D149" i="11"/>
  <c r="C149" i="11"/>
  <c r="D148" i="11"/>
  <c r="C148" i="11"/>
  <c r="D147" i="11"/>
  <c r="C147" i="11"/>
  <c r="C43" i="11"/>
  <c r="D32" i="11"/>
  <c r="D31" i="11"/>
  <c r="J30" i="11"/>
  <c r="C30" i="11"/>
  <c r="D29" i="11"/>
  <c r="D28" i="11"/>
  <c r="J27" i="11"/>
  <c r="C27" i="11"/>
  <c r="D26" i="11"/>
  <c r="D25" i="11"/>
  <c r="J24" i="11"/>
  <c r="C24" i="11"/>
  <c r="D23" i="11"/>
  <c r="D22" i="11"/>
  <c r="C21" i="11"/>
  <c r="J18" i="11"/>
  <c r="D20" i="11"/>
  <c r="C18" i="11"/>
  <c r="C16" i="11"/>
  <c r="R58" i="11" l="1"/>
  <c r="AB43" i="11"/>
  <c r="AC43" i="11"/>
  <c r="AC35" i="11" s="1"/>
  <c r="V55" i="11"/>
  <c r="K43" i="11"/>
  <c r="K65" i="11"/>
  <c r="K66" i="11" s="1"/>
  <c r="P43" i="11"/>
  <c r="T55" i="11"/>
  <c r="AD43" i="11"/>
  <c r="AD35" i="11" s="1"/>
  <c r="U43" i="11"/>
  <c r="U35" i="11" s="1"/>
  <c r="Q43" i="11"/>
  <c r="Q35" i="11" s="1"/>
  <c r="Y43" i="11"/>
  <c r="Z43" i="11"/>
  <c r="U55" i="11"/>
  <c r="U58" i="11"/>
  <c r="P59" i="11"/>
  <c r="P65" i="11"/>
  <c r="T65" i="11"/>
  <c r="T59" i="11"/>
  <c r="V59" i="11"/>
  <c r="V65" i="11"/>
  <c r="N55" i="11"/>
  <c r="N58" i="11"/>
  <c r="Q55" i="11"/>
  <c r="Q58" i="11"/>
  <c r="R65" i="11"/>
  <c r="R59" i="11"/>
  <c r="S58" i="11"/>
  <c r="S55" i="11"/>
  <c r="L55" i="11"/>
  <c r="L58" i="11"/>
  <c r="AB65" i="11"/>
  <c r="AB59" i="11"/>
  <c r="AD55" i="11"/>
  <c r="AD58" i="11"/>
  <c r="X65" i="11"/>
  <c r="X59" i="11"/>
  <c r="Z55" i="11"/>
  <c r="Z58" i="11"/>
  <c r="AC55" i="11"/>
  <c r="AC58" i="11"/>
  <c r="S43" i="11"/>
  <c r="S35" i="11" s="1"/>
  <c r="AA43" i="11"/>
  <c r="AA35" i="11" s="1"/>
  <c r="W58" i="11"/>
  <c r="W55" i="11"/>
  <c r="O58" i="11"/>
  <c r="O55" i="11"/>
  <c r="AA58" i="11"/>
  <c r="AA55" i="11"/>
  <c r="Y55" i="11"/>
  <c r="Y58" i="11"/>
  <c r="M55" i="11"/>
  <c r="M58" i="11"/>
  <c r="F71" i="11"/>
  <c r="F72" i="11"/>
  <c r="F73" i="11" s="1"/>
  <c r="H71" i="11"/>
  <c r="H72" i="11"/>
  <c r="H73" i="11" s="1"/>
  <c r="E58" i="11"/>
  <c r="E59" i="11" s="1"/>
  <c r="I72" i="11"/>
  <c r="I73" i="11" s="1"/>
  <c r="I71" i="11"/>
  <c r="D95" i="11"/>
  <c r="L35" i="11"/>
  <c r="P35" i="11"/>
  <c r="T35" i="11"/>
  <c r="X35" i="11"/>
  <c r="AB35" i="11"/>
  <c r="M35" i="11"/>
  <c r="Y35" i="11"/>
  <c r="K35" i="11"/>
  <c r="O35" i="11"/>
  <c r="W35" i="11"/>
  <c r="N35" i="11"/>
  <c r="R35" i="11"/>
  <c r="V35" i="11"/>
  <c r="Z35" i="11"/>
  <c r="J16" i="11"/>
  <c r="D40" i="11"/>
  <c r="D146" i="11"/>
  <c r="E97" i="11"/>
  <c r="D30" i="11"/>
  <c r="D18" i="11"/>
  <c r="D27" i="11"/>
  <c r="D24" i="11"/>
  <c r="G116" i="11"/>
  <c r="F116" i="11"/>
  <c r="E116" i="11"/>
  <c r="I116" i="11"/>
  <c r="K68" i="11" l="1"/>
  <c r="K69" i="11" s="1"/>
  <c r="K70" i="11"/>
  <c r="K213" i="11" s="1"/>
  <c r="J51" i="11"/>
  <c r="J44" i="11" s="1"/>
  <c r="J43" i="11" s="1"/>
  <c r="J35" i="11" s="1"/>
  <c r="D35" i="11" s="1"/>
  <c r="J81" i="11"/>
  <c r="J83" i="11" s="1"/>
  <c r="J97" i="11" s="1"/>
  <c r="Y59" i="11"/>
  <c r="Y65" i="11"/>
  <c r="L65" i="11"/>
  <c r="L59" i="11"/>
  <c r="N59" i="11"/>
  <c r="N65" i="11"/>
  <c r="U65" i="11"/>
  <c r="U59" i="11"/>
  <c r="O65" i="11"/>
  <c r="O59" i="11"/>
  <c r="R66" i="11"/>
  <c r="R70" i="11"/>
  <c r="R68" i="11"/>
  <c r="R69" i="11" s="1"/>
  <c r="M59" i="11"/>
  <c r="M65" i="11"/>
  <c r="AC65" i="11"/>
  <c r="AC59" i="11"/>
  <c r="Z59" i="11"/>
  <c r="Z65" i="11"/>
  <c r="AD65" i="11"/>
  <c r="AD59" i="11"/>
  <c r="Q65" i="11"/>
  <c r="Q59" i="11"/>
  <c r="V66" i="11"/>
  <c r="V70" i="11"/>
  <c r="V68" i="11"/>
  <c r="V69" i="11" s="1"/>
  <c r="P70" i="11"/>
  <c r="P68" i="11"/>
  <c r="P69" i="11" s="1"/>
  <c r="P66" i="11"/>
  <c r="W59" i="11"/>
  <c r="W65" i="11"/>
  <c r="X66" i="11"/>
  <c r="X70" i="11"/>
  <c r="X68" i="11"/>
  <c r="X69" i="11" s="1"/>
  <c r="T66" i="11"/>
  <c r="T70" i="11"/>
  <c r="T68" i="11"/>
  <c r="T69" i="11" s="1"/>
  <c r="AA59" i="11"/>
  <c r="AA65" i="11"/>
  <c r="AB66" i="11"/>
  <c r="AB70" i="11"/>
  <c r="AB68" i="11"/>
  <c r="AB69" i="11" s="1"/>
  <c r="S59" i="11"/>
  <c r="S65" i="11"/>
  <c r="E65" i="11"/>
  <c r="E68" i="11" s="1"/>
  <c r="E69" i="11" s="1"/>
  <c r="K17" i="11"/>
  <c r="D16" i="11"/>
  <c r="K72" i="11" l="1"/>
  <c r="K73" i="11" s="1"/>
  <c r="K71" i="11"/>
  <c r="K52" i="11"/>
  <c r="J54" i="11"/>
  <c r="J55" i="11" s="1"/>
  <c r="E70" i="11"/>
  <c r="E213" i="11" s="1"/>
  <c r="T213" i="11"/>
  <c r="T71" i="11"/>
  <c r="T72" i="11"/>
  <c r="T73" i="11" s="1"/>
  <c r="N66" i="11"/>
  <c r="N70" i="11"/>
  <c r="N68" i="11"/>
  <c r="N69" i="11" s="1"/>
  <c r="AB213" i="11"/>
  <c r="AB71" i="11"/>
  <c r="AB72" i="11"/>
  <c r="AB73" i="11" s="1"/>
  <c r="AA66" i="11"/>
  <c r="AA68" i="11"/>
  <c r="AA69" i="11" s="1"/>
  <c r="AA70" i="11"/>
  <c r="W68" i="11"/>
  <c r="W69" i="11" s="1"/>
  <c r="W70" i="11"/>
  <c r="W66" i="11"/>
  <c r="V213" i="11"/>
  <c r="V71" i="11"/>
  <c r="V72" i="11"/>
  <c r="V73" i="11" s="1"/>
  <c r="AD66" i="11"/>
  <c r="AD70" i="11"/>
  <c r="AD68" i="11"/>
  <c r="AD69" i="11" s="1"/>
  <c r="AC68" i="11"/>
  <c r="AC69" i="11" s="1"/>
  <c r="AC66" i="11"/>
  <c r="AC70" i="11"/>
  <c r="J58" i="11"/>
  <c r="O66" i="11"/>
  <c r="O68" i="11"/>
  <c r="O69" i="11" s="1"/>
  <c r="O70" i="11"/>
  <c r="Y68" i="11"/>
  <c r="Y69" i="11" s="1"/>
  <c r="Y66" i="11"/>
  <c r="Y70" i="11"/>
  <c r="S68" i="11"/>
  <c r="S69" i="11" s="1"/>
  <c r="S70" i="11"/>
  <c r="S66" i="11"/>
  <c r="Z66" i="11"/>
  <c r="Z68" i="11"/>
  <c r="Z69" i="11" s="1"/>
  <c r="Z70" i="11"/>
  <c r="M70" i="11"/>
  <c r="M66" i="11"/>
  <c r="M68" i="11"/>
  <c r="M69" i="11" s="1"/>
  <c r="X213" i="11"/>
  <c r="X72" i="11"/>
  <c r="X73" i="11" s="1"/>
  <c r="X71" i="11"/>
  <c r="P213" i="11"/>
  <c r="P71" i="11"/>
  <c r="P72" i="11"/>
  <c r="P73" i="11" s="1"/>
  <c r="Q70" i="11"/>
  <c r="Q68" i="11"/>
  <c r="Q69" i="11" s="1"/>
  <c r="Q66" i="11"/>
  <c r="R213" i="11"/>
  <c r="R71" i="11"/>
  <c r="R72" i="11"/>
  <c r="R73" i="11" s="1"/>
  <c r="U68" i="11"/>
  <c r="U69" i="11" s="1"/>
  <c r="U70" i="11"/>
  <c r="U66" i="11"/>
  <c r="L66" i="11"/>
  <c r="L70" i="11"/>
  <c r="L68" i="11"/>
  <c r="L69" i="11" s="1"/>
  <c r="E66" i="11"/>
  <c r="D43" i="11"/>
  <c r="E71" i="11" l="1"/>
  <c r="E72" i="11"/>
  <c r="E73" i="11" s="1"/>
  <c r="L213" i="11"/>
  <c r="L72" i="11"/>
  <c r="L73" i="11" s="1"/>
  <c r="L71" i="11"/>
  <c r="M213" i="11"/>
  <c r="M71" i="11"/>
  <c r="M72" i="11"/>
  <c r="M73" i="11" s="1"/>
  <c r="J65" i="11"/>
  <c r="J59" i="11"/>
  <c r="W213" i="11"/>
  <c r="W71" i="11"/>
  <c r="W72" i="11"/>
  <c r="W73" i="11" s="1"/>
  <c r="N213" i="11"/>
  <c r="N71" i="11"/>
  <c r="N72" i="11"/>
  <c r="N73" i="11" s="1"/>
  <c r="Z213" i="11"/>
  <c r="Z71" i="11"/>
  <c r="Z72" i="11"/>
  <c r="Z73" i="11" s="1"/>
  <c r="S213" i="11"/>
  <c r="S72" i="11"/>
  <c r="S73" i="11" s="1"/>
  <c r="S71" i="11"/>
  <c r="Q213" i="11"/>
  <c r="Q71" i="11"/>
  <c r="Q72" i="11"/>
  <c r="Q73" i="11" s="1"/>
  <c r="O213" i="11"/>
  <c r="O71" i="11"/>
  <c r="O72" i="11"/>
  <c r="O73" i="11" s="1"/>
  <c r="AC213" i="11"/>
  <c r="AC72" i="11"/>
  <c r="AC73" i="11" s="1"/>
  <c r="AC71" i="11"/>
  <c r="AD213" i="11"/>
  <c r="AD72" i="11"/>
  <c r="AD73" i="11" s="1"/>
  <c r="AD71" i="11"/>
  <c r="AA213" i="11"/>
  <c r="AA72" i="11"/>
  <c r="AA73" i="11" s="1"/>
  <c r="AA71" i="11"/>
  <c r="U213" i="11"/>
  <c r="U71" i="11"/>
  <c r="U72" i="11"/>
  <c r="U73" i="11" s="1"/>
  <c r="Y213" i="11"/>
  <c r="Y72" i="11"/>
  <c r="Y73" i="11" s="1"/>
  <c r="Y71" i="11"/>
  <c r="J66" i="11" l="1"/>
  <c r="J68" i="11"/>
  <c r="J184" i="11" s="1"/>
  <c r="J70" i="11"/>
  <c r="J213" i="11" l="1"/>
  <c r="J72" i="11"/>
  <c r="J73" i="11" s="1"/>
  <c r="J71" i="11"/>
  <c r="J69" i="11"/>
  <c r="C24" i="31"/>
  <c r="J185" i="11" l="1"/>
  <c r="K184" i="11"/>
  <c r="K185" i="11" l="1"/>
  <c r="L184" i="11"/>
  <c r="M184" i="11" l="1"/>
  <c r="L185" i="11"/>
  <c r="N184" i="11" l="1"/>
  <c r="M185" i="11"/>
  <c r="N185" i="11" l="1"/>
  <c r="O184" i="11"/>
  <c r="D26" i="7"/>
  <c r="F65" i="6"/>
  <c r="E65" i="6"/>
  <c r="P184" i="11" l="1"/>
  <c r="O185" i="11"/>
  <c r="O2" i="32"/>
  <c r="Q184" i="11" l="1"/>
  <c r="P185" i="11"/>
  <c r="F26" i="7"/>
  <c r="R184" i="11" l="1"/>
  <c r="Q185" i="11"/>
  <c r="S184" i="11" l="1"/>
  <c r="R185" i="11"/>
  <c r="J20" i="7"/>
  <c r="N31" i="7"/>
  <c r="T184" i="11" l="1"/>
  <c r="S185" i="11"/>
  <c r="U184" i="11" l="1"/>
  <c r="T185" i="11"/>
  <c r="U185" i="11" l="1"/>
  <c r="V184" i="11"/>
  <c r="J6" i="11"/>
  <c r="J22" i="7"/>
  <c r="J11" i="7" s="1"/>
  <c r="J23" i="7"/>
  <c r="C65" i="31"/>
  <c r="C64" i="31"/>
  <c r="C59" i="31"/>
  <c r="C58" i="31"/>
  <c r="C57" i="31"/>
  <c r="C56" i="31"/>
  <c r="C55" i="31"/>
  <c r="C53" i="31"/>
  <c r="C52" i="31"/>
  <c r="C51" i="31"/>
  <c r="C50" i="31"/>
  <c r="C46" i="31"/>
  <c r="C45" i="31"/>
  <c r="C44" i="31"/>
  <c r="C43" i="31"/>
  <c r="C42" i="31"/>
  <c r="C41" i="31"/>
  <c r="C40" i="31"/>
  <c r="C35" i="31"/>
  <c r="C34" i="31"/>
  <c r="C33" i="31"/>
  <c r="C32" i="31"/>
  <c r="C28" i="31"/>
  <c r="C27" i="31"/>
  <c r="C22" i="31"/>
  <c r="C20" i="31"/>
  <c r="C18" i="31"/>
  <c r="C11" i="31"/>
  <c r="C10" i="31"/>
  <c r="C203" i="11"/>
  <c r="C201" i="11"/>
  <c r="C200" i="11"/>
  <c r="C199" i="11"/>
  <c r="C198" i="11"/>
  <c r="C197" i="11"/>
  <c r="C196" i="11"/>
  <c r="C193" i="11"/>
  <c r="C192" i="11"/>
  <c r="C191" i="11"/>
  <c r="C190" i="11"/>
  <c r="C188" i="11"/>
  <c r="C185" i="11"/>
  <c r="C184" i="11"/>
  <c r="C183" i="11"/>
  <c r="C182" i="11"/>
  <c r="C181" i="11"/>
  <c r="C180" i="11"/>
  <c r="C179" i="11"/>
  <c r="C176" i="11"/>
  <c r="C174" i="11"/>
  <c r="C173" i="11"/>
  <c r="C172" i="11"/>
  <c r="C171" i="11"/>
  <c r="C170" i="11"/>
  <c r="C169" i="11"/>
  <c r="C168" i="11"/>
  <c r="C165" i="11"/>
  <c r="C164" i="11"/>
  <c r="C163" i="11"/>
  <c r="C162" i="11"/>
  <c r="C161" i="11"/>
  <c r="C160" i="11"/>
  <c r="C159" i="11"/>
  <c r="C158" i="11"/>
  <c r="C157" i="11"/>
  <c r="C156" i="11"/>
  <c r="D120" i="11"/>
  <c r="D122" i="11"/>
  <c r="D123" i="11"/>
  <c r="D124" i="11"/>
  <c r="D125" i="11"/>
  <c r="D132" i="11"/>
  <c r="D101" i="11"/>
  <c r="D102" i="11"/>
  <c r="D103" i="11"/>
  <c r="D104" i="11"/>
  <c r="D105" i="11"/>
  <c r="D110" i="11"/>
  <c r="D111" i="11"/>
  <c r="D112" i="11"/>
  <c r="D113" i="11"/>
  <c r="D81" i="11"/>
  <c r="D82" i="11"/>
  <c r="D76" i="11"/>
  <c r="C76" i="11"/>
  <c r="D53" i="11"/>
  <c r="D56" i="11"/>
  <c r="D57" i="11"/>
  <c r="D60" i="11"/>
  <c r="D61" i="11"/>
  <c r="D63" i="11"/>
  <c r="D64" i="11"/>
  <c r="D67" i="11"/>
  <c r="C68" i="11"/>
  <c r="C67" i="11"/>
  <c r="C65" i="11"/>
  <c r="C64" i="11"/>
  <c r="C63" i="11"/>
  <c r="C62" i="11"/>
  <c r="C61" i="11"/>
  <c r="C60" i="11"/>
  <c r="C58" i="11"/>
  <c r="C57" i="11"/>
  <c r="C56" i="11"/>
  <c r="C54" i="11"/>
  <c r="C53" i="11"/>
  <c r="C51" i="11"/>
  <c r="B12" i="11"/>
  <c r="H116" i="11"/>
  <c r="F64" i="6"/>
  <c r="E64" i="6"/>
  <c r="F63" i="6"/>
  <c r="E63" i="6"/>
  <c r="F62" i="6"/>
  <c r="E62" i="6"/>
  <c r="F61" i="6"/>
  <c r="E61" i="6"/>
  <c r="F60" i="6"/>
  <c r="E60" i="6"/>
  <c r="F59" i="6"/>
  <c r="E59" i="6"/>
  <c r="F58" i="6"/>
  <c r="E58" i="6"/>
  <c r="F57" i="6"/>
  <c r="E57" i="6"/>
  <c r="F56" i="6"/>
  <c r="E56" i="6"/>
  <c r="F55" i="6"/>
  <c r="E55" i="6"/>
  <c r="F54" i="6"/>
  <c r="E54" i="6"/>
  <c r="F53" i="6"/>
  <c r="E53" i="6"/>
  <c r="F52" i="6"/>
  <c r="E52" i="6"/>
  <c r="J10" i="7" l="1"/>
  <c r="E12" i="31"/>
  <c r="W184" i="11"/>
  <c r="V185" i="11"/>
  <c r="D19" i="7"/>
  <c r="D20" i="7"/>
  <c r="D22" i="7" s="1"/>
  <c r="I6" i="11"/>
  <c r="F9" i="31"/>
  <c r="F13" i="31" s="1"/>
  <c r="D83" i="11"/>
  <c r="J7" i="11"/>
  <c r="I7" i="11"/>
  <c r="I10" i="11" s="1"/>
  <c r="L31" i="7"/>
  <c r="P31" i="7" s="1"/>
  <c r="D126" i="11"/>
  <c r="D106" i="11"/>
  <c r="J19" i="7"/>
  <c r="X184" i="11" l="1"/>
  <c r="W185" i="11"/>
  <c r="G9" i="31"/>
  <c r="G13" i="31" s="1"/>
  <c r="F17" i="31"/>
  <c r="F31" i="31" s="1"/>
  <c r="F39" i="31" s="1"/>
  <c r="H7" i="11"/>
  <c r="H10" i="11" s="1"/>
  <c r="I12" i="11"/>
  <c r="I9" i="11"/>
  <c r="J12" i="11"/>
  <c r="J10" i="11"/>
  <c r="J11" i="11" s="1"/>
  <c r="J9" i="11"/>
  <c r="G7" i="11"/>
  <c r="G10" i="11" s="1"/>
  <c r="G6" i="11"/>
  <c r="H6" i="11"/>
  <c r="K6" i="11"/>
  <c r="O31" i="7"/>
  <c r="L32" i="7"/>
  <c r="P32" i="7" s="1"/>
  <c r="G31" i="7"/>
  <c r="T31" i="7" s="1"/>
  <c r="F31" i="7"/>
  <c r="J21" i="7"/>
  <c r="F49" i="31" l="1"/>
  <c r="F63" i="31" s="1"/>
  <c r="Y184" i="11"/>
  <c r="X185" i="11"/>
  <c r="G17" i="31"/>
  <c r="G31" i="31" s="1"/>
  <c r="G39" i="31" s="1"/>
  <c r="H9" i="31"/>
  <c r="H13" i="31" s="1"/>
  <c r="H12" i="11"/>
  <c r="F6" i="11"/>
  <c r="G12" i="11"/>
  <c r="F7" i="11"/>
  <c r="F10" i="11" s="1"/>
  <c r="G9" i="11"/>
  <c r="H9" i="11"/>
  <c r="K7" i="11"/>
  <c r="O32" i="7"/>
  <c r="I31" i="7"/>
  <c r="H31" i="7"/>
  <c r="G32" i="7"/>
  <c r="B31" i="7"/>
  <c r="R31" i="7" s="1"/>
  <c r="L33" i="7"/>
  <c r="L34" i="7" s="1"/>
  <c r="L35" i="7" s="1"/>
  <c r="L36" i="7" s="1"/>
  <c r="L37" i="7" s="1"/>
  <c r="L38" i="7" s="1"/>
  <c r="L39" i="7" s="1"/>
  <c r="L40" i="7" s="1"/>
  <c r="L41" i="7" s="1"/>
  <c r="L42" i="7" s="1"/>
  <c r="L43" i="7" s="1"/>
  <c r="L44" i="7" s="1"/>
  <c r="L45" i="7" s="1"/>
  <c r="L46" i="7" s="1"/>
  <c r="L47" i="7" s="1"/>
  <c r="L48" i="7" s="1"/>
  <c r="L49" i="7" s="1"/>
  <c r="L50" i="7" s="1"/>
  <c r="L51" i="7" s="1"/>
  <c r="L52" i="7" s="1"/>
  <c r="G49" i="31" l="1"/>
  <c r="G63" i="31" s="1"/>
  <c r="Z184" i="11"/>
  <c r="Y185" i="11"/>
  <c r="H17" i="31"/>
  <c r="H31" i="31" s="1"/>
  <c r="H39" i="31" s="1"/>
  <c r="I9" i="31"/>
  <c r="I13" i="31" s="1"/>
  <c r="G33" i="7"/>
  <c r="T33" i="7" s="1"/>
  <c r="T32" i="7"/>
  <c r="K10" i="11"/>
  <c r="K11" i="11" s="1"/>
  <c r="E7" i="11"/>
  <c r="E10" i="11" s="1"/>
  <c r="F9" i="11"/>
  <c r="E6" i="11"/>
  <c r="F12" i="11"/>
  <c r="K9" i="11"/>
  <c r="L6" i="11"/>
  <c r="K12" i="11"/>
  <c r="I32" i="7"/>
  <c r="H32" i="7"/>
  <c r="D31" i="7"/>
  <c r="C31" i="7"/>
  <c r="B32" i="7"/>
  <c r="R32" i="7" s="1"/>
  <c r="L53" i="7"/>
  <c r="H49" i="31" l="1"/>
  <c r="H63" i="31" s="1"/>
  <c r="AA184" i="11"/>
  <c r="Z185" i="11"/>
  <c r="G34" i="7"/>
  <c r="T34" i="7" s="1"/>
  <c r="I17" i="31"/>
  <c r="I31" i="31" s="1"/>
  <c r="I39" i="31" s="1"/>
  <c r="J9" i="31"/>
  <c r="J13" i="31" s="1"/>
  <c r="I33" i="7"/>
  <c r="H33" i="7"/>
  <c r="E9" i="11"/>
  <c r="E12" i="11"/>
  <c r="L7" i="11"/>
  <c r="D32" i="7"/>
  <c r="C32" i="7"/>
  <c r="E31" i="7"/>
  <c r="S31" i="7" s="1"/>
  <c r="B33" i="7"/>
  <c r="L54" i="7"/>
  <c r="I49" i="31" l="1"/>
  <c r="I63" i="31" s="1"/>
  <c r="AA185" i="11"/>
  <c r="AB184" i="11"/>
  <c r="I34" i="7"/>
  <c r="G35" i="7"/>
  <c r="T35" i="7" s="1"/>
  <c r="H34" i="7"/>
  <c r="J17" i="31"/>
  <c r="J31" i="31" s="1"/>
  <c r="J39" i="31" s="1"/>
  <c r="K9" i="31"/>
  <c r="K13" i="31" s="1"/>
  <c r="E32" i="7"/>
  <c r="S32" i="7" s="1"/>
  <c r="R33" i="7"/>
  <c r="L12" i="11"/>
  <c r="L10" i="11"/>
  <c r="L11" i="11" s="1"/>
  <c r="L9" i="11"/>
  <c r="M6" i="11"/>
  <c r="D33" i="7"/>
  <c r="C33" i="7"/>
  <c r="B34" i="7"/>
  <c r="R34" i="7" s="1"/>
  <c r="L55" i="7"/>
  <c r="AC184" i="11" l="1"/>
  <c r="AB185" i="11"/>
  <c r="J49" i="31"/>
  <c r="J63" i="31" s="1"/>
  <c r="I35" i="7"/>
  <c r="G36" i="7"/>
  <c r="T36" i="7" s="1"/>
  <c r="H35" i="7"/>
  <c r="K17" i="31"/>
  <c r="K31" i="31" s="1"/>
  <c r="K39" i="31" s="1"/>
  <c r="L9" i="31"/>
  <c r="L17" i="31" s="1"/>
  <c r="L31" i="31" s="1"/>
  <c r="F32" i="7"/>
  <c r="M7" i="11"/>
  <c r="C34" i="7"/>
  <c r="D34" i="7"/>
  <c r="E33" i="7"/>
  <c r="B35" i="7"/>
  <c r="R35" i="7" s="1"/>
  <c r="L56" i="7"/>
  <c r="K49" i="31" l="1"/>
  <c r="K63" i="31" s="1"/>
  <c r="AD184" i="11"/>
  <c r="AC185" i="11"/>
  <c r="H36" i="7"/>
  <c r="G37" i="7"/>
  <c r="T37" i="7" s="1"/>
  <c r="I36" i="7"/>
  <c r="L39" i="31"/>
  <c r="M9" i="31"/>
  <c r="M17" i="31" s="1"/>
  <c r="M31" i="31" s="1"/>
  <c r="F33" i="7"/>
  <c r="S33" i="7"/>
  <c r="M10" i="11"/>
  <c r="M11" i="11" s="1"/>
  <c r="M12" i="11"/>
  <c r="M9" i="11"/>
  <c r="N6" i="11"/>
  <c r="D35" i="7"/>
  <c r="C35" i="7"/>
  <c r="E34" i="7"/>
  <c r="B36" i="7"/>
  <c r="R36" i="7" s="1"/>
  <c r="L57" i="7"/>
  <c r="L49" i="31" l="1"/>
  <c r="L63" i="31" s="1"/>
  <c r="AD185" i="11"/>
  <c r="I37" i="7"/>
  <c r="H37" i="7"/>
  <c r="G38" i="7"/>
  <c r="T38" i="7" s="1"/>
  <c r="M39" i="31"/>
  <c r="F34" i="7"/>
  <c r="S34" i="7"/>
  <c r="N7" i="11"/>
  <c r="C36" i="7"/>
  <c r="D36" i="7"/>
  <c r="E35" i="7"/>
  <c r="B37" i="7"/>
  <c r="R37" i="7" s="1"/>
  <c r="L58" i="7"/>
  <c r="M49" i="31" l="1"/>
  <c r="M63" i="31" s="1"/>
  <c r="I38" i="7"/>
  <c r="G39" i="7"/>
  <c r="T39" i="7" s="1"/>
  <c r="H38" i="7"/>
  <c r="F35" i="7"/>
  <c r="S35" i="7"/>
  <c r="N12" i="11"/>
  <c r="N10" i="11"/>
  <c r="N11" i="11" s="1"/>
  <c r="N9" i="11"/>
  <c r="O6" i="11"/>
  <c r="D37" i="7"/>
  <c r="C37" i="7"/>
  <c r="E36" i="7"/>
  <c r="B38" i="7"/>
  <c r="R38" i="7" s="1"/>
  <c r="L59" i="7"/>
  <c r="G40" i="7" l="1"/>
  <c r="T40" i="7" s="1"/>
  <c r="I39" i="7"/>
  <c r="H39" i="7"/>
  <c r="F36" i="7"/>
  <c r="S36" i="7"/>
  <c r="O7" i="11"/>
  <c r="D38" i="7"/>
  <c r="C38" i="7"/>
  <c r="E37" i="7"/>
  <c r="B39" i="7"/>
  <c r="L60" i="7"/>
  <c r="G41" i="7" l="1"/>
  <c r="T41" i="7" s="1"/>
  <c r="H40" i="7"/>
  <c r="I40" i="7"/>
  <c r="B40" i="7"/>
  <c r="R40" i="7" s="1"/>
  <c r="R39" i="7"/>
  <c r="F37" i="7"/>
  <c r="S37" i="7"/>
  <c r="O12" i="11"/>
  <c r="O10" i="11"/>
  <c r="O11" i="11" s="1"/>
  <c r="O9" i="11"/>
  <c r="P6" i="11"/>
  <c r="D39" i="7"/>
  <c r="C39" i="7"/>
  <c r="E38" i="7"/>
  <c r="L61" i="7"/>
  <c r="E39" i="7" l="1"/>
  <c r="S39" i="7" s="1"/>
  <c r="H41" i="7"/>
  <c r="I41" i="7"/>
  <c r="G42" i="7"/>
  <c r="T42" i="7" s="1"/>
  <c r="C40" i="7"/>
  <c r="B41" i="7"/>
  <c r="R41" i="7" s="1"/>
  <c r="F38" i="7"/>
  <c r="S38" i="7"/>
  <c r="D40" i="7"/>
  <c r="P7" i="11"/>
  <c r="L62" i="7"/>
  <c r="F39" i="7" l="1"/>
  <c r="I42" i="7"/>
  <c r="H42" i="7"/>
  <c r="G43" i="7"/>
  <c r="T43" i="7" s="1"/>
  <c r="B42" i="7"/>
  <c r="R42" i="7" s="1"/>
  <c r="C41" i="7"/>
  <c r="D41" i="7"/>
  <c r="E40" i="7"/>
  <c r="S40" i="7" s="1"/>
  <c r="P12" i="11"/>
  <c r="P10" i="11"/>
  <c r="P11" i="11" s="1"/>
  <c r="P9" i="11"/>
  <c r="Q6" i="11"/>
  <c r="L63" i="7"/>
  <c r="D51" i="11"/>
  <c r="D54" i="11" s="1"/>
  <c r="D58" i="11" s="1"/>
  <c r="D65" i="11" s="1"/>
  <c r="E41" i="7" l="1"/>
  <c r="S41" i="7" s="1"/>
  <c r="G44" i="7"/>
  <c r="T44" i="7" s="1"/>
  <c r="I43" i="7"/>
  <c r="H43" i="7"/>
  <c r="B43" i="7"/>
  <c r="R43" i="7" s="1"/>
  <c r="C42" i="7"/>
  <c r="D42" i="7"/>
  <c r="F40" i="7"/>
  <c r="D68" i="11"/>
  <c r="D70" i="11"/>
  <c r="D72" i="11" s="1"/>
  <c r="Q7" i="11"/>
  <c r="L64" i="7"/>
  <c r="D97" i="11"/>
  <c r="F41" i="7" l="1"/>
  <c r="E42" i="7"/>
  <c r="S42" i="7" s="1"/>
  <c r="I44" i="7"/>
  <c r="G45" i="7"/>
  <c r="T45" i="7" s="1"/>
  <c r="H44" i="7"/>
  <c r="B44" i="7"/>
  <c r="B45" i="7" s="1"/>
  <c r="C43" i="7"/>
  <c r="D43" i="7"/>
  <c r="Q12" i="11"/>
  <c r="Q10" i="11"/>
  <c r="Q11" i="11" s="1"/>
  <c r="Q9" i="11"/>
  <c r="R6" i="11"/>
  <c r="L65" i="7"/>
  <c r="F42" i="7" l="1"/>
  <c r="E43" i="7"/>
  <c r="S43" i="7" s="1"/>
  <c r="H45" i="7"/>
  <c r="G46" i="7"/>
  <c r="T46" i="7" s="1"/>
  <c r="I45" i="7"/>
  <c r="C44" i="7"/>
  <c r="R44" i="7"/>
  <c r="D44" i="7"/>
  <c r="D45" i="7"/>
  <c r="R45" i="7"/>
  <c r="R7" i="11"/>
  <c r="E44" i="7"/>
  <c r="C45" i="7"/>
  <c r="L66" i="7"/>
  <c r="B46" i="7" l="1"/>
  <c r="D46" i="7" s="1"/>
  <c r="F43" i="7"/>
  <c r="F44" i="7" s="1"/>
  <c r="H46" i="7"/>
  <c r="I46" i="7"/>
  <c r="G47" i="7"/>
  <c r="T47" i="7" s="1"/>
  <c r="S44" i="7"/>
  <c r="R10" i="11"/>
  <c r="R11" i="11" s="1"/>
  <c r="R12" i="11"/>
  <c r="R9" i="11"/>
  <c r="S6" i="11"/>
  <c r="L67" i="7"/>
  <c r="E45" i="7" l="1"/>
  <c r="S45" i="7" s="1"/>
  <c r="R46" i="7"/>
  <c r="C46" i="7"/>
  <c r="B47" i="7"/>
  <c r="E46" i="7" s="1"/>
  <c r="I47" i="7"/>
  <c r="H47" i="7"/>
  <c r="G48" i="7"/>
  <c r="T48" i="7" s="1"/>
  <c r="S7" i="11"/>
  <c r="L68" i="7"/>
  <c r="F45" i="7" l="1"/>
  <c r="B48" i="7"/>
  <c r="D48" i="7" s="1"/>
  <c r="R47" i="7"/>
  <c r="C47" i="7"/>
  <c r="D47" i="7"/>
  <c r="G49" i="7"/>
  <c r="T49" i="7" s="1"/>
  <c r="H48" i="7"/>
  <c r="I48" i="7"/>
  <c r="F46" i="7"/>
  <c r="S46" i="7"/>
  <c r="S12" i="11"/>
  <c r="S10" i="11"/>
  <c r="S11" i="11" s="1"/>
  <c r="S9" i="11"/>
  <c r="T6" i="11"/>
  <c r="L69" i="7"/>
  <c r="E47" i="7" l="1"/>
  <c r="F47" i="7" s="1"/>
  <c r="B49" i="7"/>
  <c r="E48" i="7" s="1"/>
  <c r="S48" i="7" s="1"/>
  <c r="C48" i="7"/>
  <c r="R48" i="7"/>
  <c r="G50" i="7"/>
  <c r="T50" i="7" s="1"/>
  <c r="H49" i="7"/>
  <c r="I49" i="7"/>
  <c r="T7" i="11"/>
  <c r="L70" i="7"/>
  <c r="S47" i="7" l="1"/>
  <c r="R49" i="7"/>
  <c r="B50" i="7"/>
  <c r="R50" i="7" s="1"/>
  <c r="C49" i="7"/>
  <c r="D49" i="7"/>
  <c r="F48" i="7"/>
  <c r="G51" i="7"/>
  <c r="T51" i="7" s="1"/>
  <c r="H50" i="7"/>
  <c r="I50" i="7"/>
  <c r="T12" i="11"/>
  <c r="T10" i="11"/>
  <c r="T11" i="11" s="1"/>
  <c r="T9" i="11"/>
  <c r="U6" i="11"/>
  <c r="L71" i="7"/>
  <c r="E49" i="7" l="1"/>
  <c r="F49" i="7" s="1"/>
  <c r="D50" i="7"/>
  <c r="C50" i="7"/>
  <c r="B51" i="7"/>
  <c r="R51" i="7" s="1"/>
  <c r="G52" i="7"/>
  <c r="T52" i="7" s="1"/>
  <c r="I51" i="7"/>
  <c r="H51" i="7"/>
  <c r="U7" i="11"/>
  <c r="L72" i="7"/>
  <c r="S49" i="7" l="1"/>
  <c r="C51" i="7"/>
  <c r="E50" i="7"/>
  <c r="S50" i="7" s="1"/>
  <c r="D51" i="7"/>
  <c r="B52" i="7"/>
  <c r="R52" i="7" s="1"/>
  <c r="G53" i="7"/>
  <c r="T53" i="7" s="1"/>
  <c r="H52" i="7"/>
  <c r="I52" i="7"/>
  <c r="U12" i="11"/>
  <c r="U10" i="11"/>
  <c r="U11" i="11" s="1"/>
  <c r="U9" i="11"/>
  <c r="V6" i="11"/>
  <c r="L73" i="7"/>
  <c r="F50" i="7" l="1"/>
  <c r="B53" i="7"/>
  <c r="D53" i="7" s="1"/>
  <c r="C52" i="7"/>
  <c r="E51" i="7"/>
  <c r="D52" i="7"/>
  <c r="I53" i="7"/>
  <c r="G54" i="7"/>
  <c r="T54" i="7" s="1"/>
  <c r="H53" i="7"/>
  <c r="V7" i="11"/>
  <c r="L74" i="7"/>
  <c r="E52" i="7" l="1"/>
  <c r="S52" i="7" s="1"/>
  <c r="B54" i="7"/>
  <c r="E53" i="7" s="1"/>
  <c r="F51" i="7"/>
  <c r="C53" i="7"/>
  <c r="R53" i="7"/>
  <c r="S51" i="7"/>
  <c r="G55" i="7"/>
  <c r="T55" i="7" s="1"/>
  <c r="H54" i="7"/>
  <c r="I54" i="7"/>
  <c r="V12" i="11"/>
  <c r="V10" i="11"/>
  <c r="V11" i="11" s="1"/>
  <c r="V9" i="11"/>
  <c r="W6" i="11"/>
  <c r="L75" i="7"/>
  <c r="F52" i="7" l="1"/>
  <c r="D54" i="7"/>
  <c r="C54" i="7"/>
  <c r="R54" i="7"/>
  <c r="B55" i="7"/>
  <c r="R55" i="7" s="1"/>
  <c r="H55" i="7"/>
  <c r="G56" i="7"/>
  <c r="T56" i="7" s="1"/>
  <c r="I55" i="7"/>
  <c r="F53" i="7"/>
  <c r="S53" i="7"/>
  <c r="W7" i="11"/>
  <c r="L76" i="7"/>
  <c r="B56" i="7" l="1"/>
  <c r="D56" i="7" s="1"/>
  <c r="D55" i="7"/>
  <c r="C55" i="7"/>
  <c r="E54" i="7"/>
  <c r="S54" i="7" s="1"/>
  <c r="G57" i="7"/>
  <c r="T57" i="7" s="1"/>
  <c r="I56" i="7"/>
  <c r="H56" i="7"/>
  <c r="F54" i="7"/>
  <c r="W12" i="11"/>
  <c r="W10" i="11"/>
  <c r="W11" i="11" s="1"/>
  <c r="W9" i="11"/>
  <c r="X6" i="11"/>
  <c r="L77" i="7"/>
  <c r="E55" i="7" l="1"/>
  <c r="F55" i="7" s="1"/>
  <c r="B57" i="7"/>
  <c r="R57" i="7" s="1"/>
  <c r="C56" i="7"/>
  <c r="R56" i="7"/>
  <c r="G58" i="7"/>
  <c r="T58" i="7" s="1"/>
  <c r="H57" i="7"/>
  <c r="I57" i="7"/>
  <c r="X7" i="11"/>
  <c r="L78" i="7"/>
  <c r="S55" i="7" l="1"/>
  <c r="E56" i="7"/>
  <c r="F56" i="7" s="1"/>
  <c r="D57" i="7"/>
  <c r="C57" i="7"/>
  <c r="B58" i="7"/>
  <c r="C58" i="7" s="1"/>
  <c r="H58" i="7"/>
  <c r="I58" i="7"/>
  <c r="G59" i="7"/>
  <c r="T59" i="7" s="1"/>
  <c r="S56" i="7"/>
  <c r="X12" i="11"/>
  <c r="X10" i="11"/>
  <c r="X11" i="11" s="1"/>
  <c r="X9" i="11"/>
  <c r="Y6" i="11"/>
  <c r="L79" i="7"/>
  <c r="E57" i="7" l="1"/>
  <c r="S57" i="7" s="1"/>
  <c r="R58" i="7"/>
  <c r="D58" i="7"/>
  <c r="H59" i="7"/>
  <c r="B59" i="7"/>
  <c r="M78" i="7" s="1"/>
  <c r="I59" i="7"/>
  <c r="Y7" i="11"/>
  <c r="L80" i="7"/>
  <c r="F57" i="7" l="1"/>
  <c r="M75" i="7"/>
  <c r="M55" i="7"/>
  <c r="M48" i="7"/>
  <c r="M74" i="7"/>
  <c r="M59" i="7"/>
  <c r="M63" i="7"/>
  <c r="M62" i="7"/>
  <c r="M73" i="7"/>
  <c r="M49" i="7"/>
  <c r="M79" i="7"/>
  <c r="M77" i="7"/>
  <c r="E58" i="7"/>
  <c r="S58" i="7" s="1"/>
  <c r="M53" i="7"/>
  <c r="M70" i="7"/>
  <c r="M71" i="7"/>
  <c r="M60" i="7"/>
  <c r="M58" i="7"/>
  <c r="M42" i="7"/>
  <c r="M69" i="7"/>
  <c r="M57" i="7"/>
  <c r="R59" i="7"/>
  <c r="Q129" i="11" s="1"/>
  <c r="Q133" i="11" s="1"/>
  <c r="Q135" i="11" s="1"/>
  <c r="M36" i="7"/>
  <c r="M40" i="7"/>
  <c r="M33" i="7"/>
  <c r="M67" i="7"/>
  <c r="M37" i="7"/>
  <c r="M72" i="7"/>
  <c r="D59" i="7"/>
  <c r="E59" i="7"/>
  <c r="S59" i="7" s="1"/>
  <c r="M32" i="7"/>
  <c r="N32" i="7" s="1"/>
  <c r="P33" i="7" s="1"/>
  <c r="M41" i="7"/>
  <c r="M54" i="7"/>
  <c r="M43" i="7"/>
  <c r="M46" i="7"/>
  <c r="M47" i="7"/>
  <c r="M39" i="7"/>
  <c r="M52" i="7"/>
  <c r="M66" i="7"/>
  <c r="M35" i="7"/>
  <c r="M34" i="7"/>
  <c r="M44" i="7"/>
  <c r="C59" i="7"/>
  <c r="M38" i="7"/>
  <c r="M50" i="7"/>
  <c r="M51" i="7"/>
  <c r="M76" i="7"/>
  <c r="M68" i="7"/>
  <c r="M61" i="7"/>
  <c r="M65" i="7"/>
  <c r="M45" i="7"/>
  <c r="M56" i="7"/>
  <c r="M64" i="7"/>
  <c r="Y129" i="11"/>
  <c r="Y133" i="11" s="1"/>
  <c r="Y135" i="11" s="1"/>
  <c r="Y12" i="11"/>
  <c r="Y10" i="11"/>
  <c r="Y11" i="11" s="1"/>
  <c r="Y9" i="11"/>
  <c r="Z6" i="11"/>
  <c r="L81" i="7"/>
  <c r="M80" i="7"/>
  <c r="W133" i="11" l="1"/>
  <c r="W135" i="11" s="1"/>
  <c r="O33" i="7"/>
  <c r="N33" i="7"/>
  <c r="P34" i="7" s="1"/>
  <c r="U129" i="11"/>
  <c r="U133" i="11" s="1"/>
  <c r="U135" i="11" s="1"/>
  <c r="J129" i="11"/>
  <c r="M129" i="11"/>
  <c r="M133" i="11" s="1"/>
  <c r="M135" i="11" s="1"/>
  <c r="I129" i="11"/>
  <c r="I133" i="11" s="1"/>
  <c r="I135" i="11" s="1"/>
  <c r="I139" i="11" s="1"/>
  <c r="F58" i="7"/>
  <c r="F59" i="7" s="1"/>
  <c r="V133" i="11"/>
  <c r="V135" i="11" s="1"/>
  <c r="R129" i="11"/>
  <c r="R133" i="11" s="1"/>
  <c r="R135" i="11" s="1"/>
  <c r="O129" i="11"/>
  <c r="O133" i="11" s="1"/>
  <c r="O135" i="11" s="1"/>
  <c r="G129" i="11"/>
  <c r="G133" i="11" s="1"/>
  <c r="G135" i="11" s="1"/>
  <c r="G139" i="11" s="1"/>
  <c r="H129" i="11"/>
  <c r="H133" i="11" s="1"/>
  <c r="H135" i="11" s="1"/>
  <c r="H139" i="11" s="1"/>
  <c r="X129" i="11"/>
  <c r="X133" i="11" s="1"/>
  <c r="X135" i="11" s="1"/>
  <c r="P129" i="11"/>
  <c r="P133" i="11" s="1"/>
  <c r="P135" i="11" s="1"/>
  <c r="E129" i="11"/>
  <c r="E133" i="11" s="1"/>
  <c r="E135" i="11" s="1"/>
  <c r="E139" i="11" s="1"/>
  <c r="K129" i="11"/>
  <c r="K133" i="11" s="1"/>
  <c r="K135" i="11" s="1"/>
  <c r="T129" i="11"/>
  <c r="T133" i="11" s="1"/>
  <c r="T135" i="11" s="1"/>
  <c r="S129" i="11"/>
  <c r="S133" i="11" s="1"/>
  <c r="S135" i="11" s="1"/>
  <c r="N129" i="11"/>
  <c r="N133" i="11" s="1"/>
  <c r="N135" i="11" s="1"/>
  <c r="L129" i="11"/>
  <c r="L133" i="11" s="1"/>
  <c r="L135" i="11" s="1"/>
  <c r="F129" i="11"/>
  <c r="F133" i="11" s="1"/>
  <c r="F135" i="11" s="1"/>
  <c r="Z7" i="11"/>
  <c r="M81" i="7"/>
  <c r="L82" i="7"/>
  <c r="F139" i="11" l="1"/>
  <c r="E140" i="11"/>
  <c r="J133" i="11"/>
  <c r="J135" i="11" s="1"/>
  <c r="O34" i="7"/>
  <c r="N34" i="7"/>
  <c r="P35" i="7" s="1"/>
  <c r="E188" i="11"/>
  <c r="E193" i="11" s="1"/>
  <c r="E203" i="11" s="1"/>
  <c r="Z10" i="11"/>
  <c r="Z11" i="11" s="1"/>
  <c r="Z133" i="11"/>
  <c r="Z135" i="11" s="1"/>
  <c r="Z12" i="11"/>
  <c r="Z9" i="11"/>
  <c r="AA6" i="11"/>
  <c r="L83" i="7"/>
  <c r="M82" i="7"/>
  <c r="E172" i="11" l="1"/>
  <c r="E174" i="11" s="1"/>
  <c r="E176" i="11" s="1"/>
  <c r="F138" i="11"/>
  <c r="F140" i="11" s="1"/>
  <c r="E205" i="11"/>
  <c r="N35" i="7"/>
  <c r="P36" i="7" s="1"/>
  <c r="F188" i="11"/>
  <c r="F193" i="11" s="1"/>
  <c r="F203" i="11" s="1"/>
  <c r="O35" i="7"/>
  <c r="E209" i="11"/>
  <c r="E210" i="11" s="1"/>
  <c r="E212" i="11" s="1"/>
  <c r="AA7" i="11"/>
  <c r="L84" i="7"/>
  <c r="M83" i="7"/>
  <c r="G138" i="11" l="1"/>
  <c r="G140" i="11" s="1"/>
  <c r="F172" i="11"/>
  <c r="F174" i="11" s="1"/>
  <c r="F176" i="11" s="1"/>
  <c r="F205" i="11" s="1"/>
  <c r="AA133" i="11"/>
  <c r="AA135" i="11" s="1"/>
  <c r="O36" i="7"/>
  <c r="N36" i="7"/>
  <c r="P37" i="7" s="1"/>
  <c r="F209" i="11"/>
  <c r="G188" i="11"/>
  <c r="G193" i="11" s="1"/>
  <c r="G203" i="11" s="1"/>
  <c r="E211" i="11"/>
  <c r="AA12" i="11"/>
  <c r="AA10" i="11"/>
  <c r="AA11" i="11" s="1"/>
  <c r="AA9" i="11"/>
  <c r="AB6" i="11"/>
  <c r="M84" i="7"/>
  <c r="L85" i="7"/>
  <c r="G172" i="11" l="1"/>
  <c r="G174" i="11" s="1"/>
  <c r="G176" i="11" s="1"/>
  <c r="H138" i="11"/>
  <c r="H140" i="11" s="1"/>
  <c r="G205" i="11"/>
  <c r="F210" i="11"/>
  <c r="F212" i="11" s="1"/>
  <c r="O37" i="7"/>
  <c r="N37" i="7"/>
  <c r="P38" i="7" s="1"/>
  <c r="H188" i="11"/>
  <c r="I188" i="11" s="1"/>
  <c r="F211" i="11"/>
  <c r="G209" i="11"/>
  <c r="G211" i="11" s="1"/>
  <c r="AB7" i="11"/>
  <c r="L86" i="7"/>
  <c r="M85" i="7"/>
  <c r="H172" i="11" l="1"/>
  <c r="H174" i="11" s="1"/>
  <c r="H176" i="11" s="1"/>
  <c r="I138" i="11"/>
  <c r="I140" i="11" s="1"/>
  <c r="N38" i="7"/>
  <c r="P39" i="7" s="1"/>
  <c r="H209" i="11"/>
  <c r="H211" i="11" s="1"/>
  <c r="O38" i="7"/>
  <c r="H193" i="11"/>
  <c r="H203" i="11" s="1"/>
  <c r="H205" i="11" s="1"/>
  <c r="G210" i="11"/>
  <c r="G212" i="11" s="1"/>
  <c r="J188" i="11"/>
  <c r="I209" i="11"/>
  <c r="I193" i="11"/>
  <c r="I203" i="11" s="1"/>
  <c r="AB10" i="11"/>
  <c r="AB11" i="11" s="1"/>
  <c r="AB129" i="11"/>
  <c r="AC6" i="11"/>
  <c r="AB9" i="11"/>
  <c r="AB12" i="11"/>
  <c r="M86" i="7"/>
  <c r="L87" i="7"/>
  <c r="J138" i="11" l="1"/>
  <c r="D138" i="11" s="1"/>
  <c r="I172" i="11"/>
  <c r="I174" i="11" s="1"/>
  <c r="AB133" i="11"/>
  <c r="AB135" i="11" s="1"/>
  <c r="O39" i="7"/>
  <c r="H210" i="11"/>
  <c r="H212" i="11" s="1"/>
  <c r="N39" i="7"/>
  <c r="P40" i="7" s="1"/>
  <c r="I211" i="11"/>
  <c r="K188" i="11"/>
  <c r="J209" i="11"/>
  <c r="J193" i="11"/>
  <c r="J203" i="11" s="1"/>
  <c r="AC7" i="11"/>
  <c r="AC129" i="11" s="1"/>
  <c r="AC133" i="11" s="1"/>
  <c r="AC135" i="11" s="1"/>
  <c r="M87" i="7"/>
  <c r="L88" i="7"/>
  <c r="I210" i="11" l="1"/>
  <c r="I212" i="11" s="1"/>
  <c r="O40" i="7"/>
  <c r="N40" i="7"/>
  <c r="P41" i="7" s="1"/>
  <c r="J211" i="11"/>
  <c r="L188" i="11"/>
  <c r="K193" i="11"/>
  <c r="K203" i="11" s="1"/>
  <c r="K209" i="11"/>
  <c r="AC12" i="11"/>
  <c r="AC10" i="11"/>
  <c r="AC11" i="11" s="1"/>
  <c r="AC9" i="11"/>
  <c r="AD6" i="11"/>
  <c r="M88" i="7"/>
  <c r="L89" i="7"/>
  <c r="O41" i="7" l="1"/>
  <c r="N41" i="7"/>
  <c r="P42" i="7" s="1"/>
  <c r="M188" i="11"/>
  <c r="L193" i="11"/>
  <c r="L203" i="11" s="1"/>
  <c r="L209" i="11"/>
  <c r="K211" i="11"/>
  <c r="AD7" i="11"/>
  <c r="AD129" i="11" s="1"/>
  <c r="M89" i="7"/>
  <c r="L90" i="7"/>
  <c r="AD133" i="11" l="1"/>
  <c r="AD135" i="11" s="1"/>
  <c r="N42" i="7"/>
  <c r="P43" i="7" s="1"/>
  <c r="O42" i="7"/>
  <c r="L211" i="11"/>
  <c r="N188" i="11"/>
  <c r="M209" i="11"/>
  <c r="M193" i="11"/>
  <c r="AD12" i="11"/>
  <c r="AD10" i="11"/>
  <c r="AD11" i="11" s="1"/>
  <c r="AD9" i="11"/>
  <c r="AE6" i="11"/>
  <c r="L91" i="7"/>
  <c r="M90" i="7"/>
  <c r="N43" i="7" l="1"/>
  <c r="P44" i="7" s="1"/>
  <c r="O43" i="7"/>
  <c r="M203" i="11"/>
  <c r="O188" i="11"/>
  <c r="N209" i="11"/>
  <c r="N193" i="11"/>
  <c r="N203" i="11" s="1"/>
  <c r="M211" i="11"/>
  <c r="AE7" i="11"/>
  <c r="O44" i="7"/>
  <c r="M91" i="7"/>
  <c r="L92" i="7"/>
  <c r="N44" i="7" l="1"/>
  <c r="P45" i="7" s="1"/>
  <c r="N211" i="11"/>
  <c r="P188" i="11"/>
  <c r="O193" i="11"/>
  <c r="O203" i="11" s="1"/>
  <c r="O209" i="11"/>
  <c r="AE10" i="11"/>
  <c r="AE11" i="11" s="1"/>
  <c r="AE9" i="11"/>
  <c r="AF6" i="11"/>
  <c r="AE12" i="11"/>
  <c r="M92" i="7"/>
  <c r="L93" i="7"/>
  <c r="O45" i="7" l="1"/>
  <c r="N45" i="7"/>
  <c r="P46" i="7" s="1"/>
  <c r="Q188" i="11"/>
  <c r="Q209" i="11" s="1"/>
  <c r="P193" i="11"/>
  <c r="P203" i="11" s="1"/>
  <c r="P209" i="11"/>
  <c r="O211" i="11"/>
  <c r="AF7" i="11"/>
  <c r="L94" i="7"/>
  <c r="M93" i="7"/>
  <c r="N46" i="7" l="1"/>
  <c r="P47" i="7" s="1"/>
  <c r="O46" i="7"/>
  <c r="P211" i="11"/>
  <c r="R188" i="11"/>
  <c r="Q193" i="11"/>
  <c r="Q203" i="11" s="1"/>
  <c r="AF12" i="11"/>
  <c r="AF10" i="11"/>
  <c r="AF11" i="11" s="1"/>
  <c r="AF9" i="11"/>
  <c r="AG6" i="11"/>
  <c r="M94" i="7"/>
  <c r="L95" i="7"/>
  <c r="N47" i="7" l="1"/>
  <c r="P48" i="7" s="1"/>
  <c r="O47" i="7"/>
  <c r="Q211" i="11"/>
  <c r="S188" i="11"/>
  <c r="R209" i="11"/>
  <c r="R193" i="11"/>
  <c r="R203" i="11" s="1"/>
  <c r="AG7" i="11"/>
  <c r="L96" i="7"/>
  <c r="M95" i="7"/>
  <c r="N48" i="7" l="1"/>
  <c r="P49" i="7" s="1"/>
  <c r="O48" i="7"/>
  <c r="R211" i="11"/>
  <c r="T188" i="11"/>
  <c r="S193" i="11"/>
  <c r="S203" i="11" s="1"/>
  <c r="S209" i="11"/>
  <c r="AG12" i="11"/>
  <c r="AG10" i="11"/>
  <c r="AG11" i="11" s="1"/>
  <c r="AG9" i="11"/>
  <c r="AH6" i="11"/>
  <c r="L97" i="7"/>
  <c r="M96" i="7"/>
  <c r="O49" i="7" l="1"/>
  <c r="N49" i="7"/>
  <c r="P50" i="7" s="1"/>
  <c r="U188" i="11"/>
  <c r="T193" i="11"/>
  <c r="T203" i="11" s="1"/>
  <c r="T209" i="11"/>
  <c r="S211" i="11"/>
  <c r="AH7" i="11"/>
  <c r="M97" i="7"/>
  <c r="L98" i="7"/>
  <c r="N50" i="7" l="1"/>
  <c r="P51" i="7" s="1"/>
  <c r="O50" i="7"/>
  <c r="T211" i="11"/>
  <c r="V188" i="11"/>
  <c r="U209" i="11"/>
  <c r="U193" i="11"/>
  <c r="U203" i="11" s="1"/>
  <c r="AH12" i="11"/>
  <c r="AH10" i="11"/>
  <c r="AH11" i="11" s="1"/>
  <c r="AH9" i="11"/>
  <c r="AI6" i="11"/>
  <c r="L99" i="7"/>
  <c r="M98" i="7"/>
  <c r="O51" i="7" l="1"/>
  <c r="N51" i="7"/>
  <c r="P52" i="7" s="1"/>
  <c r="U211" i="11"/>
  <c r="W188" i="11"/>
  <c r="V209" i="11"/>
  <c r="V193" i="11"/>
  <c r="V203" i="11" s="1"/>
  <c r="AI7" i="11"/>
  <c r="L100" i="7"/>
  <c r="M99" i="7"/>
  <c r="N52" i="7" l="1"/>
  <c r="P53" i="7" s="1"/>
  <c r="O52" i="7"/>
  <c r="V211" i="11"/>
  <c r="X188" i="11"/>
  <c r="W193" i="11"/>
  <c r="W203" i="11" s="1"/>
  <c r="W209" i="11"/>
  <c r="AI10" i="11"/>
  <c r="AI11" i="11" s="1"/>
  <c r="AI12" i="11"/>
  <c r="AI9" i="11"/>
  <c r="AJ6" i="11"/>
  <c r="M100" i="7"/>
  <c r="L101" i="7"/>
  <c r="O53" i="7" l="1"/>
  <c r="N53" i="7"/>
  <c r="P54" i="7" s="1"/>
  <c r="Y188" i="11"/>
  <c r="X193" i="11"/>
  <c r="X203" i="11" s="1"/>
  <c r="X209" i="11"/>
  <c r="W211" i="11"/>
  <c r="AJ7" i="11"/>
  <c r="L102" i="7"/>
  <c r="M101" i="7"/>
  <c r="O54" i="7" l="1"/>
  <c r="N54" i="7"/>
  <c r="P55" i="7" s="1"/>
  <c r="X211" i="11"/>
  <c r="Z188" i="11"/>
  <c r="Y209" i="11"/>
  <c r="Y193" i="11"/>
  <c r="Y203" i="11" s="1"/>
  <c r="AJ12" i="11"/>
  <c r="AJ10" i="11"/>
  <c r="AJ11" i="11" s="1"/>
  <c r="AJ9" i="11"/>
  <c r="AK6" i="11"/>
  <c r="M102" i="7"/>
  <c r="L103" i="7"/>
  <c r="O55" i="7" l="1"/>
  <c r="N55" i="7"/>
  <c r="P56" i="7" s="1"/>
  <c r="Y211" i="11"/>
  <c r="AA188" i="11"/>
  <c r="Z209" i="11"/>
  <c r="Z193" i="11"/>
  <c r="Z203" i="11" s="1"/>
  <c r="AK7" i="11"/>
  <c r="M103" i="7"/>
  <c r="L104" i="7"/>
  <c r="O56" i="7" l="1"/>
  <c r="N56" i="7"/>
  <c r="P57" i="7" s="1"/>
  <c r="Z211" i="11"/>
  <c r="AB188" i="11"/>
  <c r="AA193" i="11"/>
  <c r="AA203" i="11" s="1"/>
  <c r="AA209" i="11"/>
  <c r="AK10" i="11"/>
  <c r="AK11" i="11" s="1"/>
  <c r="AK9" i="11"/>
  <c r="AL6" i="11"/>
  <c r="AK12" i="11"/>
  <c r="L105" i="7"/>
  <c r="N57" i="7" l="1"/>
  <c r="P58" i="7" s="1"/>
  <c r="O57" i="7"/>
  <c r="AC188" i="11"/>
  <c r="AB193" i="11"/>
  <c r="AB203" i="11" s="1"/>
  <c r="AB209" i="11"/>
  <c r="AA211" i="11"/>
  <c r="AL7" i="11"/>
  <c r="D129" i="11" s="1"/>
  <c r="M105" i="7"/>
  <c r="L106" i="7"/>
  <c r="N58" i="7" l="1"/>
  <c r="P59" i="7" s="1"/>
  <c r="O58" i="7"/>
  <c r="AB211" i="11"/>
  <c r="AD188" i="11"/>
  <c r="AC209" i="11"/>
  <c r="AC193" i="11"/>
  <c r="AC203" i="11" s="1"/>
  <c r="D133" i="11"/>
  <c r="D135" i="11" s="1"/>
  <c r="AL9" i="11"/>
  <c r="K34" i="31" s="1"/>
  <c r="AL10" i="11"/>
  <c r="AL11" i="11" s="1"/>
  <c r="AL12" i="11"/>
  <c r="L107" i="7"/>
  <c r="M106" i="7"/>
  <c r="O59" i="7" l="1"/>
  <c r="N59" i="7"/>
  <c r="P60" i="7" s="1"/>
  <c r="G58" i="31"/>
  <c r="F50" i="31"/>
  <c r="G42" i="31"/>
  <c r="F52" i="31"/>
  <c r="G51" i="31"/>
  <c r="H53" i="31"/>
  <c r="F41" i="31"/>
  <c r="H55" i="31"/>
  <c r="H42" i="31"/>
  <c r="G57" i="31"/>
  <c r="G52" i="31"/>
  <c r="H41" i="31"/>
  <c r="F42" i="31"/>
  <c r="G40" i="31"/>
  <c r="F40" i="31"/>
  <c r="G41" i="31"/>
  <c r="F43" i="31"/>
  <c r="G53" i="31"/>
  <c r="F54" i="31"/>
  <c r="I40" i="31"/>
  <c r="I41" i="31"/>
  <c r="F56" i="31"/>
  <c r="G43" i="31"/>
  <c r="F57" i="31"/>
  <c r="G54" i="31"/>
  <c r="H58" i="31"/>
  <c r="H57" i="31"/>
  <c r="I56" i="31"/>
  <c r="H43" i="31"/>
  <c r="H51" i="31"/>
  <c r="H52" i="31"/>
  <c r="H56" i="31"/>
  <c r="G50" i="31"/>
  <c r="I55" i="31"/>
  <c r="H50" i="31"/>
  <c r="H40" i="31"/>
  <c r="F51" i="31"/>
  <c r="G56" i="31"/>
  <c r="G55" i="31"/>
  <c r="H54" i="31"/>
  <c r="F58" i="31"/>
  <c r="I53" i="31"/>
  <c r="I54" i="31"/>
  <c r="K58" i="31"/>
  <c r="K43" i="31"/>
  <c r="J42" i="31"/>
  <c r="K51" i="31"/>
  <c r="J51" i="31"/>
  <c r="J41" i="31"/>
  <c r="J54" i="31"/>
  <c r="K54" i="31"/>
  <c r="J55" i="31"/>
  <c r="K56" i="31"/>
  <c r="J58" i="31"/>
  <c r="J52" i="31"/>
  <c r="J56" i="31"/>
  <c r="K42" i="31"/>
  <c r="J57" i="31"/>
  <c r="I57" i="31"/>
  <c r="I43" i="31"/>
  <c r="J50" i="31"/>
  <c r="K40" i="31"/>
  <c r="K41" i="31"/>
  <c r="I52" i="31"/>
  <c r="I50" i="31"/>
  <c r="K52" i="31"/>
  <c r="J40" i="31"/>
  <c r="I51" i="31"/>
  <c r="I58" i="31"/>
  <c r="K50" i="31"/>
  <c r="J43" i="31"/>
  <c r="I42" i="31"/>
  <c r="J53" i="31"/>
  <c r="K57" i="31"/>
  <c r="F53" i="31"/>
  <c r="G26" i="31"/>
  <c r="H26" i="31"/>
  <c r="F26" i="31"/>
  <c r="J26" i="31"/>
  <c r="I26" i="31"/>
  <c r="K26" i="31"/>
  <c r="I11" i="31"/>
  <c r="I27" i="31"/>
  <c r="F27" i="31"/>
  <c r="H10" i="31"/>
  <c r="G32" i="31"/>
  <c r="H18" i="31"/>
  <c r="H20" i="31"/>
  <c r="F32" i="31"/>
  <c r="G10" i="31"/>
  <c r="I10" i="31"/>
  <c r="G18" i="31"/>
  <c r="G22" i="31"/>
  <c r="H34" i="31"/>
  <c r="G20" i="31"/>
  <c r="H27" i="31"/>
  <c r="F24" i="31"/>
  <c r="G27" i="31"/>
  <c r="H11" i="31"/>
  <c r="F18" i="31"/>
  <c r="F19" i="31" s="1"/>
  <c r="H22" i="31"/>
  <c r="F20" i="31"/>
  <c r="H24" i="31"/>
  <c r="F11" i="31"/>
  <c r="J34" i="31"/>
  <c r="G24" i="31"/>
  <c r="G11" i="31"/>
  <c r="F10" i="31"/>
  <c r="F22" i="31"/>
  <c r="H32" i="31"/>
  <c r="I20" i="31"/>
  <c r="I24" i="31"/>
  <c r="I18" i="31"/>
  <c r="I22" i="31"/>
  <c r="I34" i="31"/>
  <c r="J22" i="31"/>
  <c r="J20" i="31"/>
  <c r="J32" i="31"/>
  <c r="J11" i="31"/>
  <c r="J27" i="31"/>
  <c r="I32" i="31"/>
  <c r="J18" i="31"/>
  <c r="J10" i="31"/>
  <c r="J24" i="31"/>
  <c r="K11" i="31"/>
  <c r="K27" i="31"/>
  <c r="K18" i="31"/>
  <c r="K32" i="31"/>
  <c r="K22" i="31"/>
  <c r="K20" i="31"/>
  <c r="K24" i="31"/>
  <c r="K10" i="31"/>
  <c r="G34" i="31"/>
  <c r="F34" i="31"/>
  <c r="E10" i="31"/>
  <c r="E11" i="31"/>
  <c r="AC211" i="11"/>
  <c r="AD209" i="11"/>
  <c r="AD193" i="11"/>
  <c r="AD203" i="11" s="1"/>
  <c r="N60" i="7"/>
  <c r="P61" i="7" s="1"/>
  <c r="M107" i="7"/>
  <c r="L108" i="7"/>
  <c r="K19" i="31" l="1"/>
  <c r="O60" i="7"/>
  <c r="I59" i="31"/>
  <c r="J59" i="31"/>
  <c r="G59" i="31"/>
  <c r="H59" i="31"/>
  <c r="G68" i="31"/>
  <c r="J68" i="31"/>
  <c r="H68" i="31"/>
  <c r="I68" i="31"/>
  <c r="F68" i="31"/>
  <c r="I64" i="31"/>
  <c r="I65" i="31" s="1"/>
  <c r="I67" i="31" s="1"/>
  <c r="J64" i="31"/>
  <c r="J65" i="31" s="1"/>
  <c r="J67" i="31" s="1"/>
  <c r="H64" i="31"/>
  <c r="H65" i="31" s="1"/>
  <c r="H67" i="31" s="1"/>
  <c r="K68" i="31"/>
  <c r="F64" i="31"/>
  <c r="F65" i="31" s="1"/>
  <c r="F67" i="31" s="1"/>
  <c r="G64" i="31"/>
  <c r="G65" i="31" s="1"/>
  <c r="G67" i="31" s="1"/>
  <c r="J19" i="31"/>
  <c r="H19" i="31"/>
  <c r="J21" i="31"/>
  <c r="K21" i="31"/>
  <c r="G21" i="31"/>
  <c r="I21" i="31"/>
  <c r="I19" i="31"/>
  <c r="G19" i="31"/>
  <c r="H21" i="31"/>
  <c r="AD211" i="11"/>
  <c r="N61" i="7"/>
  <c r="P62" i="7" s="1"/>
  <c r="O61" i="7"/>
  <c r="M108" i="7"/>
  <c r="L109" i="7"/>
  <c r="F66" i="31" l="1"/>
  <c r="G66" i="31"/>
  <c r="H66" i="31"/>
  <c r="I66" i="31"/>
  <c r="J66" i="31"/>
  <c r="N62" i="7"/>
  <c r="P63" i="7" s="1"/>
  <c r="O62" i="7"/>
  <c r="L110" i="7"/>
  <c r="M109" i="7"/>
  <c r="K53" i="31" l="1"/>
  <c r="K64" i="31" s="1"/>
  <c r="K55" i="31"/>
  <c r="K59" i="31" s="1"/>
  <c r="N63" i="7"/>
  <c r="P64" i="7" s="1"/>
  <c r="O63" i="7"/>
  <c r="M110" i="7"/>
  <c r="L111" i="7"/>
  <c r="K65" i="31" l="1"/>
  <c r="K67" i="31" s="1"/>
  <c r="K66" i="31"/>
  <c r="N64" i="7"/>
  <c r="P65" i="7" s="1"/>
  <c r="O64" i="7"/>
  <c r="M111" i="7"/>
  <c r="L112" i="7"/>
  <c r="N65" i="7" l="1"/>
  <c r="P66" i="7" s="1"/>
  <c r="O65" i="7"/>
  <c r="L113" i="7"/>
  <c r="M112" i="7"/>
  <c r="O66" i="7" l="1"/>
  <c r="N66" i="7"/>
  <c r="P67" i="7" s="1"/>
  <c r="M113" i="7"/>
  <c r="L114" i="7"/>
  <c r="N67" i="7" l="1"/>
  <c r="P68" i="7" s="1"/>
  <c r="O67" i="7"/>
  <c r="L115" i="7"/>
  <c r="M114" i="7"/>
  <c r="O68" i="7" l="1"/>
  <c r="N68" i="7"/>
  <c r="P69" i="7" s="1"/>
  <c r="L116" i="7"/>
  <c r="M115" i="7"/>
  <c r="F55" i="31" l="1"/>
  <c r="F59" i="31" s="1"/>
  <c r="O69" i="7"/>
  <c r="N69" i="7"/>
  <c r="P70" i="7" s="1"/>
  <c r="M116" i="7"/>
  <c r="L117" i="7"/>
  <c r="N70" i="7" l="1"/>
  <c r="P71" i="7" s="1"/>
  <c r="O70" i="7"/>
  <c r="D10" i="31"/>
  <c r="L118" i="7"/>
  <c r="M117" i="7"/>
  <c r="N71" i="7" l="1"/>
  <c r="P72" i="7" s="1"/>
  <c r="O71" i="7"/>
  <c r="M118" i="7"/>
  <c r="L119" i="7"/>
  <c r="O72" i="7" l="1"/>
  <c r="N72" i="7"/>
  <c r="P73" i="7" s="1"/>
  <c r="M119" i="7"/>
  <c r="L120" i="7"/>
  <c r="O73" i="7" l="1"/>
  <c r="N73" i="7"/>
  <c r="P74" i="7" s="1"/>
  <c r="L121" i="7"/>
  <c r="M120" i="7"/>
  <c r="N74" i="7" l="1"/>
  <c r="P75" i="7" s="1"/>
  <c r="O74" i="7"/>
  <c r="M121" i="7"/>
  <c r="L122" i="7"/>
  <c r="N75" i="7" l="1"/>
  <c r="P76" i="7" s="1"/>
  <c r="O75" i="7"/>
  <c r="L123" i="7"/>
  <c r="M122" i="7"/>
  <c r="O76" i="7" l="1"/>
  <c r="N76" i="7"/>
  <c r="P77" i="7" s="1"/>
  <c r="M123" i="7"/>
  <c r="L124" i="7"/>
  <c r="N77" i="7" l="1"/>
  <c r="P78" i="7" s="1"/>
  <c r="O77" i="7"/>
  <c r="M124" i="7"/>
  <c r="L125" i="7"/>
  <c r="N78" i="7" l="1"/>
  <c r="P79" i="7" s="1"/>
  <c r="O78" i="7"/>
  <c r="L126" i="7"/>
  <c r="M125" i="7"/>
  <c r="O79" i="7" l="1"/>
  <c r="N79" i="7"/>
  <c r="P80" i="7" s="1"/>
  <c r="M126" i="7"/>
  <c r="L127" i="7"/>
  <c r="N80" i="7" l="1"/>
  <c r="P81" i="7" s="1"/>
  <c r="O80" i="7"/>
  <c r="M127" i="7"/>
  <c r="L128" i="7"/>
  <c r="N81" i="7" l="1"/>
  <c r="P82" i="7" s="1"/>
  <c r="O81" i="7"/>
  <c r="L129" i="7"/>
  <c r="M128" i="7"/>
  <c r="N82" i="7" l="1"/>
  <c r="P83" i="7" s="1"/>
  <c r="O82" i="7"/>
  <c r="M129" i="7"/>
  <c r="L130" i="7"/>
  <c r="N83" i="7" l="1"/>
  <c r="P84" i="7" s="1"/>
  <c r="O83" i="7"/>
  <c r="L131" i="7"/>
  <c r="M130" i="7"/>
  <c r="N84" i="7" l="1"/>
  <c r="P85" i="7" s="1"/>
  <c r="O84" i="7"/>
  <c r="L132" i="7"/>
  <c r="M131" i="7"/>
  <c r="N85" i="7" l="1"/>
  <c r="P86" i="7" s="1"/>
  <c r="O85" i="7"/>
  <c r="M132" i="7"/>
  <c r="L133" i="7"/>
  <c r="N86" i="7" l="1"/>
  <c r="P87" i="7" s="1"/>
  <c r="O86" i="7"/>
  <c r="L134" i="7"/>
  <c r="M133" i="7"/>
  <c r="O87" i="7" l="1"/>
  <c r="N87" i="7"/>
  <c r="P88" i="7" s="1"/>
  <c r="M134" i="7"/>
  <c r="L135" i="7"/>
  <c r="N88" i="7" l="1"/>
  <c r="P89" i="7" s="1"/>
  <c r="O88" i="7"/>
  <c r="M135" i="7"/>
  <c r="L136" i="7"/>
  <c r="O89" i="7" l="1"/>
  <c r="N89" i="7"/>
  <c r="P90" i="7" s="1"/>
  <c r="L137" i="7"/>
  <c r="M136" i="7"/>
  <c r="N90" i="7" l="1"/>
  <c r="P91" i="7" s="1"/>
  <c r="O90" i="7"/>
  <c r="M137" i="7"/>
  <c r="L138" i="7"/>
  <c r="N91" i="7" l="1"/>
  <c r="P92" i="7" s="1"/>
  <c r="O91" i="7"/>
  <c r="L139" i="7"/>
  <c r="M138" i="7"/>
  <c r="N92" i="7" l="1"/>
  <c r="P93" i="7" s="1"/>
  <c r="O92" i="7"/>
  <c r="L140" i="7"/>
  <c r="M139" i="7"/>
  <c r="N93" i="7" l="1"/>
  <c r="P94" i="7" s="1"/>
  <c r="O93" i="7"/>
  <c r="M140" i="7"/>
  <c r="L141" i="7"/>
  <c r="O94" i="7" l="1"/>
  <c r="N94" i="7"/>
  <c r="P95" i="7" s="1"/>
  <c r="L142" i="7"/>
  <c r="M141" i="7"/>
  <c r="N95" i="7" l="1"/>
  <c r="P96" i="7" s="1"/>
  <c r="O95" i="7"/>
  <c r="M142" i="7"/>
  <c r="L143" i="7"/>
  <c r="O96" i="7" l="1"/>
  <c r="N96" i="7"/>
  <c r="P97" i="7" s="1"/>
  <c r="M143" i="7"/>
  <c r="L144" i="7"/>
  <c r="O97" i="7" l="1"/>
  <c r="N97" i="7"/>
  <c r="P98" i="7" s="1"/>
  <c r="L145" i="7"/>
  <c r="M144" i="7"/>
  <c r="N98" i="7" l="1"/>
  <c r="P99" i="7" s="1"/>
  <c r="O98" i="7"/>
  <c r="M145" i="7"/>
  <c r="L146" i="7"/>
  <c r="N99" i="7" l="1"/>
  <c r="P100" i="7" s="1"/>
  <c r="O99" i="7"/>
  <c r="L147" i="7"/>
  <c r="M146" i="7"/>
  <c r="O100" i="7" l="1"/>
  <c r="N100" i="7"/>
  <c r="P101" i="7" s="1"/>
  <c r="L148" i="7"/>
  <c r="M147" i="7"/>
  <c r="N101" i="7" l="1"/>
  <c r="P102" i="7" s="1"/>
  <c r="O101" i="7"/>
  <c r="M148" i="7"/>
  <c r="L149" i="7"/>
  <c r="O102" i="7" l="1"/>
  <c r="N102" i="7"/>
  <c r="P103" i="7" s="1"/>
  <c r="L150" i="7"/>
  <c r="M149" i="7"/>
  <c r="O103" i="7" l="1"/>
  <c r="N103" i="7"/>
  <c r="P104" i="7" s="1"/>
  <c r="M150" i="7"/>
  <c r="L151" i="7"/>
  <c r="O104" i="7" l="1"/>
  <c r="M151" i="7"/>
  <c r="L152" i="7"/>
  <c r="L153" i="7" l="1"/>
  <c r="M152" i="7"/>
  <c r="M153" i="7" l="1"/>
  <c r="L154" i="7"/>
  <c r="L155" i="7" l="1"/>
  <c r="M154" i="7"/>
  <c r="L156" i="7" l="1"/>
  <c r="M155" i="7"/>
  <c r="M156" i="7" l="1"/>
  <c r="L157" i="7"/>
  <c r="L158" i="7" l="1"/>
  <c r="M157" i="7"/>
  <c r="M158" i="7" l="1"/>
  <c r="L159" i="7"/>
  <c r="L160" i="7" l="1"/>
  <c r="M159" i="7"/>
  <c r="L161" i="7" l="1"/>
  <c r="M160" i="7"/>
  <c r="M161" i="7" l="1"/>
  <c r="L162" i="7"/>
  <c r="L163" i="7" l="1"/>
  <c r="M162" i="7"/>
  <c r="M163" i="7" l="1"/>
  <c r="L164" i="7"/>
  <c r="L165" i="7" l="1"/>
  <c r="M164" i="7"/>
  <c r="M165" i="7" l="1"/>
  <c r="L166" i="7"/>
  <c r="L167" i="7" l="1"/>
  <c r="M166" i="7"/>
  <c r="M167" i="7" l="1"/>
  <c r="L168" i="7"/>
  <c r="M168" i="7" l="1"/>
  <c r="L169" i="7"/>
  <c r="L170" i="7" l="1"/>
  <c r="M169" i="7"/>
  <c r="M170" i="7" l="1"/>
  <c r="L171" i="7"/>
  <c r="L172" i="7" l="1"/>
  <c r="M171" i="7"/>
  <c r="L173" i="7" l="1"/>
  <c r="M172" i="7"/>
  <c r="M173" i="7" l="1"/>
  <c r="L174" i="7"/>
  <c r="L175" i="7" l="1"/>
  <c r="M174" i="7"/>
  <c r="M175" i="7" l="1"/>
  <c r="L176" i="7"/>
  <c r="M176" i="7" l="1"/>
  <c r="L177" i="7"/>
  <c r="L178" i="7" l="1"/>
  <c r="M177" i="7"/>
  <c r="M178" i="7" l="1"/>
  <c r="L179" i="7"/>
  <c r="L180" i="7" l="1"/>
  <c r="M179" i="7"/>
  <c r="L181" i="7" l="1"/>
  <c r="M180" i="7"/>
  <c r="L182" i="7" l="1"/>
  <c r="M181" i="7"/>
  <c r="L183" i="7" l="1"/>
  <c r="M182" i="7"/>
  <c r="L184" i="7" l="1"/>
  <c r="M183" i="7"/>
  <c r="M184" i="7" l="1"/>
  <c r="L185" i="7"/>
  <c r="M185" i="7" l="1"/>
  <c r="L186" i="7"/>
  <c r="L187" i="7" l="1"/>
  <c r="M186" i="7"/>
  <c r="L188" i="7" l="1"/>
  <c r="M187" i="7"/>
  <c r="L189" i="7" l="1"/>
  <c r="M188" i="7"/>
  <c r="L190" i="7" l="1"/>
  <c r="M189" i="7"/>
  <c r="L191" i="7" l="1"/>
  <c r="M190" i="7"/>
  <c r="M191" i="7" l="1"/>
  <c r="L192" i="7"/>
  <c r="M192" i="7" l="1"/>
  <c r="L193" i="7"/>
  <c r="M193" i="7" l="1"/>
  <c r="L194" i="7"/>
  <c r="M194" i="7" l="1"/>
  <c r="L195" i="7"/>
  <c r="L196" i="7" l="1"/>
  <c r="M195" i="7"/>
  <c r="L197" i="7" l="1"/>
  <c r="M196" i="7"/>
  <c r="L198" i="7" l="1"/>
  <c r="M197" i="7"/>
  <c r="M198" i="7" l="1"/>
  <c r="L199" i="7"/>
  <c r="M199" i="7" l="1"/>
  <c r="L200" i="7"/>
  <c r="M200" i="7" l="1"/>
  <c r="L201" i="7"/>
  <c r="M201" i="7" l="1"/>
  <c r="L202" i="7"/>
  <c r="L203" i="7" l="1"/>
  <c r="M202" i="7"/>
  <c r="L204" i="7" l="1"/>
  <c r="M203" i="7"/>
  <c r="L205" i="7" l="1"/>
  <c r="M204" i="7"/>
  <c r="L206" i="7" l="1"/>
  <c r="M205" i="7"/>
  <c r="M206" i="7" l="1"/>
  <c r="L207" i="7"/>
  <c r="M207" i="7" l="1"/>
  <c r="L208" i="7"/>
  <c r="M208" i="7" l="1"/>
  <c r="L209" i="7"/>
  <c r="M209" i="7" l="1"/>
  <c r="L210" i="7"/>
  <c r="M210" i="7" l="1"/>
  <c r="L211" i="7"/>
  <c r="L212" i="7" l="1"/>
  <c r="M211" i="7"/>
  <c r="L213" i="7" l="1"/>
  <c r="M212" i="7"/>
  <c r="L214" i="7" l="1"/>
  <c r="M213" i="7"/>
  <c r="M214" i="7" l="1"/>
  <c r="L215" i="7"/>
  <c r="M215" i="7" l="1"/>
  <c r="L216" i="7"/>
  <c r="M216" i="7" l="1"/>
  <c r="L217" i="7"/>
  <c r="M217" i="7" l="1"/>
  <c r="L218" i="7"/>
  <c r="L219" i="7" l="1"/>
  <c r="M218" i="7"/>
  <c r="L220" i="7" l="1"/>
  <c r="M219" i="7"/>
  <c r="L221" i="7" l="1"/>
  <c r="M220" i="7"/>
  <c r="L222" i="7" l="1"/>
  <c r="M221" i="7"/>
  <c r="L223" i="7" l="1"/>
  <c r="M222" i="7"/>
  <c r="M223" i="7" l="1"/>
  <c r="L224" i="7"/>
  <c r="M224" i="7" l="1"/>
  <c r="L225" i="7"/>
  <c r="M225" i="7" l="1"/>
  <c r="L226" i="7"/>
  <c r="L227" i="7" l="1"/>
  <c r="M226" i="7"/>
  <c r="L228" i="7" l="1"/>
  <c r="M227" i="7"/>
  <c r="L229" i="7" l="1"/>
  <c r="M228" i="7"/>
  <c r="L230" i="7" l="1"/>
  <c r="M229" i="7"/>
  <c r="L231" i="7" l="1"/>
  <c r="M230" i="7"/>
  <c r="M231" i="7" l="1"/>
  <c r="L232" i="7"/>
  <c r="M232" i="7" l="1"/>
  <c r="L233" i="7"/>
  <c r="M233" i="7" l="1"/>
  <c r="L234" i="7"/>
  <c r="M234" i="7" l="1"/>
  <c r="L235" i="7"/>
  <c r="L236" i="7" l="1"/>
  <c r="M235" i="7"/>
  <c r="L237" i="7" l="1"/>
  <c r="M236" i="7"/>
  <c r="L238" i="7" l="1"/>
  <c r="M237" i="7"/>
  <c r="L239" i="7" l="1"/>
  <c r="M238" i="7"/>
  <c r="M239" i="7" l="1"/>
  <c r="L240" i="7"/>
  <c r="M240" i="7" l="1"/>
  <c r="L241" i="7"/>
  <c r="M241" i="7" l="1"/>
  <c r="L242" i="7"/>
  <c r="L243" i="7" l="1"/>
  <c r="M242" i="7"/>
  <c r="L244" i="7" l="1"/>
  <c r="M243" i="7"/>
  <c r="L245" i="7" l="1"/>
  <c r="M244" i="7"/>
  <c r="L246" i="7" l="1"/>
  <c r="M245" i="7"/>
  <c r="L247" i="7" l="1"/>
  <c r="M246" i="7"/>
  <c r="M247" i="7" l="1"/>
  <c r="L248" i="7"/>
  <c r="M248" i="7" l="1"/>
  <c r="L249" i="7"/>
  <c r="M249" i="7" l="1"/>
  <c r="L250" i="7"/>
  <c r="L251" i="7" l="1"/>
  <c r="M250" i="7"/>
  <c r="L252" i="7" l="1"/>
  <c r="M251" i="7"/>
  <c r="L253" i="7" l="1"/>
  <c r="M252" i="7"/>
  <c r="L254" i="7" l="1"/>
  <c r="M253" i="7"/>
  <c r="L255" i="7" l="1"/>
  <c r="M254" i="7"/>
  <c r="M255" i="7" l="1"/>
  <c r="L256" i="7"/>
  <c r="M256" i="7" l="1"/>
  <c r="L257" i="7"/>
  <c r="M257" i="7" l="1"/>
  <c r="L258" i="7"/>
  <c r="M258" i="7" l="1"/>
  <c r="L259" i="7"/>
  <c r="L260" i="7" l="1"/>
  <c r="M259" i="7"/>
  <c r="L261" i="7" l="1"/>
  <c r="M260" i="7"/>
  <c r="L262" i="7" l="1"/>
  <c r="M261" i="7"/>
  <c r="L263" i="7" l="1"/>
  <c r="M262" i="7"/>
  <c r="M263" i="7" l="1"/>
  <c r="L264" i="7"/>
  <c r="M264" i="7" l="1"/>
  <c r="L265" i="7"/>
  <c r="M265" i="7" l="1"/>
  <c r="L266" i="7"/>
  <c r="L267" i="7" l="1"/>
  <c r="M266" i="7"/>
  <c r="L268" i="7" l="1"/>
  <c r="M267" i="7"/>
  <c r="L269" i="7" l="1"/>
  <c r="M268" i="7"/>
  <c r="L270" i="7" l="1"/>
  <c r="M269" i="7"/>
  <c r="M270" i="7" l="1"/>
  <c r="L271" i="7"/>
  <c r="M271" i="7" l="1"/>
  <c r="L272" i="7"/>
  <c r="M272" i="7" l="1"/>
  <c r="L273" i="7"/>
  <c r="M273" i="7" l="1"/>
  <c r="L274" i="7"/>
  <c r="M274" i="7" l="1"/>
  <c r="L275" i="7"/>
  <c r="L276" i="7" l="1"/>
  <c r="M275" i="7"/>
  <c r="L277" i="7" l="1"/>
  <c r="M276" i="7"/>
  <c r="L278" i="7" l="1"/>
  <c r="M277" i="7"/>
  <c r="M104" i="7"/>
  <c r="N104" i="7" s="1"/>
  <c r="P105" i="7" s="1"/>
  <c r="O105" i="7" l="1"/>
  <c r="N105" i="7"/>
  <c r="P106" i="7" s="1"/>
  <c r="L279" i="7"/>
  <c r="M278" i="7"/>
  <c r="O106" i="7" l="1"/>
  <c r="N106" i="7"/>
  <c r="P107" i="7" s="1"/>
  <c r="M279" i="7"/>
  <c r="L280" i="7"/>
  <c r="O107" i="7" l="1"/>
  <c r="N107" i="7"/>
  <c r="P108" i="7" s="1"/>
  <c r="M280" i="7"/>
  <c r="L281" i="7"/>
  <c r="O108" i="7" l="1"/>
  <c r="N108" i="7"/>
  <c r="P109" i="7" s="1"/>
  <c r="M281" i="7"/>
  <c r="L282" i="7"/>
  <c r="O109" i="7" l="1"/>
  <c r="N109" i="7"/>
  <c r="P110" i="7" s="1"/>
  <c r="L283" i="7"/>
  <c r="M282" i="7"/>
  <c r="O110" i="7" l="1"/>
  <c r="N110" i="7"/>
  <c r="P111" i="7" s="1"/>
  <c r="L284" i="7"/>
  <c r="M283" i="7"/>
  <c r="O111" i="7" l="1"/>
  <c r="N111" i="7"/>
  <c r="P112" i="7" s="1"/>
  <c r="L285" i="7"/>
  <c r="M284" i="7"/>
  <c r="O112" i="7" l="1"/>
  <c r="N112" i="7"/>
  <c r="P113" i="7" s="1"/>
  <c r="L286" i="7"/>
  <c r="M285" i="7"/>
  <c r="O113" i="7" l="1"/>
  <c r="N113" i="7"/>
  <c r="P114" i="7" s="1"/>
  <c r="L287" i="7"/>
  <c r="M286" i="7"/>
  <c r="O114" i="7" l="1"/>
  <c r="N114" i="7"/>
  <c r="P115" i="7" s="1"/>
  <c r="M287" i="7"/>
  <c r="L288" i="7"/>
  <c r="O115" i="7" l="1"/>
  <c r="N115" i="7"/>
  <c r="P116" i="7" s="1"/>
  <c r="M288" i="7"/>
  <c r="L289" i="7"/>
  <c r="O116" i="7" l="1"/>
  <c r="N116" i="7"/>
  <c r="P117" i="7" s="1"/>
  <c r="M289" i="7"/>
  <c r="L290" i="7"/>
  <c r="O117" i="7" l="1"/>
  <c r="N117" i="7"/>
  <c r="P118" i="7" s="1"/>
  <c r="L291" i="7"/>
  <c r="M290" i="7"/>
  <c r="O118" i="7" l="1"/>
  <c r="N118" i="7"/>
  <c r="P119" i="7" s="1"/>
  <c r="L292" i="7"/>
  <c r="M291" i="7"/>
  <c r="O119" i="7" l="1"/>
  <c r="N119" i="7"/>
  <c r="P120" i="7" s="1"/>
  <c r="L293" i="7"/>
  <c r="M292" i="7"/>
  <c r="O120" i="7" l="1"/>
  <c r="N120" i="7"/>
  <c r="P121" i="7" s="1"/>
  <c r="L294" i="7"/>
  <c r="M293" i="7"/>
  <c r="O121" i="7" l="1"/>
  <c r="N121" i="7"/>
  <c r="P122" i="7" s="1"/>
  <c r="L295" i="7"/>
  <c r="M294" i="7"/>
  <c r="O122" i="7" l="1"/>
  <c r="N122" i="7"/>
  <c r="P123" i="7" s="1"/>
  <c r="M295" i="7"/>
  <c r="L296" i="7"/>
  <c r="O123" i="7" l="1"/>
  <c r="N123" i="7"/>
  <c r="P124" i="7" s="1"/>
  <c r="M296" i="7"/>
  <c r="L297" i="7"/>
  <c r="O124" i="7" l="1"/>
  <c r="N124" i="7"/>
  <c r="P125" i="7" s="1"/>
  <c r="M297" i="7"/>
  <c r="L298" i="7"/>
  <c r="O125" i="7" l="1"/>
  <c r="N125" i="7"/>
  <c r="P126" i="7" s="1"/>
  <c r="M298" i="7"/>
  <c r="L299" i="7"/>
  <c r="O126" i="7" l="1"/>
  <c r="N126" i="7"/>
  <c r="P127" i="7" s="1"/>
  <c r="L300" i="7"/>
  <c r="M299" i="7"/>
  <c r="O127" i="7" l="1"/>
  <c r="N127" i="7"/>
  <c r="P128" i="7" s="1"/>
  <c r="L301" i="7"/>
  <c r="M300" i="7"/>
  <c r="O128" i="7" l="1"/>
  <c r="N128" i="7"/>
  <c r="P129" i="7" s="1"/>
  <c r="L302" i="7"/>
  <c r="M301" i="7"/>
  <c r="O129" i="7" l="1"/>
  <c r="N129" i="7"/>
  <c r="P130" i="7" s="1"/>
  <c r="L303" i="7"/>
  <c r="M302" i="7"/>
  <c r="O130" i="7" l="1"/>
  <c r="N130" i="7"/>
  <c r="P131" i="7" s="1"/>
  <c r="M303" i="7"/>
  <c r="L304" i="7"/>
  <c r="O131" i="7" l="1"/>
  <c r="N131" i="7"/>
  <c r="P132" i="7" s="1"/>
  <c r="M304" i="7"/>
  <c r="L305" i="7"/>
  <c r="O132" i="7" l="1"/>
  <c r="N132" i="7"/>
  <c r="P133" i="7" s="1"/>
  <c r="M305" i="7"/>
  <c r="L306" i="7"/>
  <c r="O133" i="7" l="1"/>
  <c r="N133" i="7"/>
  <c r="P134" i="7" s="1"/>
  <c r="L307" i="7"/>
  <c r="M306" i="7"/>
  <c r="M31" i="7"/>
  <c r="E60" i="7"/>
  <c r="O134" i="7" l="1"/>
  <c r="N134" i="7"/>
  <c r="P135" i="7" s="1"/>
  <c r="L308" i="7"/>
  <c r="M307" i="7"/>
  <c r="O135" i="7" l="1"/>
  <c r="N135" i="7"/>
  <c r="P136" i="7" s="1"/>
  <c r="L309" i="7"/>
  <c r="M308" i="7"/>
  <c r="O136" i="7" l="1"/>
  <c r="N136" i="7"/>
  <c r="P137" i="7" s="1"/>
  <c r="L310" i="7"/>
  <c r="M309" i="7"/>
  <c r="O137" i="7" l="1"/>
  <c r="N137" i="7"/>
  <c r="P138" i="7" s="1"/>
  <c r="L311" i="7"/>
  <c r="M310" i="7"/>
  <c r="O138" i="7" l="1"/>
  <c r="N138" i="7"/>
  <c r="P139" i="7" s="1"/>
  <c r="M311" i="7"/>
  <c r="L312" i="7"/>
  <c r="O139" i="7" l="1"/>
  <c r="N139" i="7"/>
  <c r="P140" i="7" s="1"/>
  <c r="M312" i="7"/>
  <c r="L313" i="7"/>
  <c r="O140" i="7" l="1"/>
  <c r="N140" i="7"/>
  <c r="P141" i="7" s="1"/>
  <c r="M313" i="7"/>
  <c r="L314" i="7"/>
  <c r="O141" i="7" l="1"/>
  <c r="N141" i="7"/>
  <c r="P142" i="7" s="1"/>
  <c r="L315" i="7"/>
  <c r="M314" i="7"/>
  <c r="O142" i="7" l="1"/>
  <c r="N142" i="7"/>
  <c r="P143" i="7" s="1"/>
  <c r="L316" i="7"/>
  <c r="M315" i="7"/>
  <c r="O143" i="7" l="1"/>
  <c r="N143" i="7"/>
  <c r="P144" i="7" s="1"/>
  <c r="L317" i="7"/>
  <c r="M316" i="7"/>
  <c r="O144" i="7" l="1"/>
  <c r="N144" i="7"/>
  <c r="P145" i="7" s="1"/>
  <c r="L318" i="7"/>
  <c r="M317" i="7"/>
  <c r="O145" i="7" l="1"/>
  <c r="N145" i="7"/>
  <c r="P146" i="7" s="1"/>
  <c r="L319" i="7"/>
  <c r="M318" i="7"/>
  <c r="O146" i="7" l="1"/>
  <c r="N146" i="7"/>
  <c r="P147" i="7" s="1"/>
  <c r="M319" i="7"/>
  <c r="L320" i="7"/>
  <c r="O147" i="7" l="1"/>
  <c r="N147" i="7"/>
  <c r="P148" i="7" s="1"/>
  <c r="M320" i="7"/>
  <c r="L321" i="7"/>
  <c r="O148" i="7" l="1"/>
  <c r="N148" i="7"/>
  <c r="P149" i="7" s="1"/>
  <c r="M321" i="7"/>
  <c r="L322" i="7"/>
  <c r="O149" i="7" l="1"/>
  <c r="N149" i="7"/>
  <c r="P150" i="7" s="1"/>
  <c r="L323" i="7"/>
  <c r="M322" i="7"/>
  <c r="O150" i="7" l="1"/>
  <c r="N150" i="7"/>
  <c r="P151" i="7" s="1"/>
  <c r="L324" i="7"/>
  <c r="M323" i="7"/>
  <c r="O151" i="7" l="1"/>
  <c r="N151" i="7"/>
  <c r="P152" i="7" s="1"/>
  <c r="L325" i="7"/>
  <c r="M324" i="7"/>
  <c r="O152" i="7" l="1"/>
  <c r="N152" i="7"/>
  <c r="P153" i="7" s="1"/>
  <c r="L326" i="7"/>
  <c r="M325" i="7"/>
  <c r="O153" i="7" l="1"/>
  <c r="N153" i="7"/>
  <c r="P154" i="7" s="1"/>
  <c r="M326" i="7"/>
  <c r="L327" i="7"/>
  <c r="O154" i="7" l="1"/>
  <c r="N154" i="7"/>
  <c r="P155" i="7" s="1"/>
  <c r="M327" i="7"/>
  <c r="L328" i="7"/>
  <c r="O155" i="7" l="1"/>
  <c r="N155" i="7"/>
  <c r="P156" i="7" s="1"/>
  <c r="M328" i="7"/>
  <c r="L329" i="7"/>
  <c r="O156" i="7" l="1"/>
  <c r="N156" i="7"/>
  <c r="P157" i="7" s="1"/>
  <c r="M329" i="7"/>
  <c r="L330" i="7"/>
  <c r="O157" i="7" l="1"/>
  <c r="N157" i="7"/>
  <c r="P158" i="7" s="1"/>
  <c r="M330" i="7"/>
  <c r="L331" i="7"/>
  <c r="O158" i="7" l="1"/>
  <c r="N158" i="7"/>
  <c r="P159" i="7" s="1"/>
  <c r="L332" i="7"/>
  <c r="M331" i="7"/>
  <c r="O159" i="7" l="1"/>
  <c r="N159" i="7"/>
  <c r="P160" i="7" s="1"/>
  <c r="L333" i="7"/>
  <c r="M332" i="7"/>
  <c r="O160" i="7" l="1"/>
  <c r="N160" i="7"/>
  <c r="P161" i="7" s="1"/>
  <c r="L334" i="7"/>
  <c r="M333" i="7"/>
  <c r="O161" i="7" l="1"/>
  <c r="N161" i="7"/>
  <c r="P162" i="7" s="1"/>
  <c r="M334" i="7"/>
  <c r="L335" i="7"/>
  <c r="O162" i="7" l="1"/>
  <c r="N162" i="7"/>
  <c r="P163" i="7" s="1"/>
  <c r="M335" i="7"/>
  <c r="L336" i="7"/>
  <c r="O163" i="7" l="1"/>
  <c r="N163" i="7"/>
  <c r="P164" i="7" s="1"/>
  <c r="M336" i="7"/>
  <c r="L337" i="7"/>
  <c r="O164" i="7" l="1"/>
  <c r="N164" i="7"/>
  <c r="P165" i="7" s="1"/>
  <c r="M337" i="7"/>
  <c r="L338" i="7"/>
  <c r="O165" i="7" l="1"/>
  <c r="N165" i="7"/>
  <c r="P166" i="7" s="1"/>
  <c r="L339" i="7"/>
  <c r="M338" i="7"/>
  <c r="O166" i="7" l="1"/>
  <c r="N166" i="7"/>
  <c r="P167" i="7" s="1"/>
  <c r="L340" i="7"/>
  <c r="M339" i="7"/>
  <c r="O167" i="7" l="1"/>
  <c r="N167" i="7"/>
  <c r="P168" i="7" s="1"/>
  <c r="L341" i="7"/>
  <c r="M340" i="7"/>
  <c r="O168" i="7" l="1"/>
  <c r="N168" i="7"/>
  <c r="P169" i="7" s="1"/>
  <c r="L342" i="7"/>
  <c r="M341" i="7"/>
  <c r="O169" i="7" l="1"/>
  <c r="N169" i="7"/>
  <c r="P170" i="7" s="1"/>
  <c r="L343" i="7"/>
  <c r="M342" i="7"/>
  <c r="O170" i="7" l="1"/>
  <c r="N170" i="7"/>
  <c r="P171" i="7" s="1"/>
  <c r="M343" i="7"/>
  <c r="L344" i="7"/>
  <c r="O171" i="7" l="1"/>
  <c r="N171" i="7"/>
  <c r="P172" i="7" s="1"/>
  <c r="M344" i="7"/>
  <c r="L345" i="7"/>
  <c r="O172" i="7" l="1"/>
  <c r="N172" i="7"/>
  <c r="P173" i="7" s="1"/>
  <c r="M345" i="7"/>
  <c r="L346" i="7"/>
  <c r="O173" i="7" l="1"/>
  <c r="N173" i="7"/>
  <c r="P174" i="7" s="1"/>
  <c r="L347" i="7"/>
  <c r="M346" i="7"/>
  <c r="O174" i="7" l="1"/>
  <c r="N174" i="7"/>
  <c r="P175" i="7" s="1"/>
  <c r="L348" i="7"/>
  <c r="M347" i="7"/>
  <c r="O175" i="7" l="1"/>
  <c r="N175" i="7"/>
  <c r="P176" i="7" s="1"/>
  <c r="L349" i="7"/>
  <c r="M348" i="7"/>
  <c r="O176" i="7" l="1"/>
  <c r="N176" i="7"/>
  <c r="P177" i="7" s="1"/>
  <c r="L350" i="7"/>
  <c r="M349" i="7"/>
  <c r="O177" i="7" l="1"/>
  <c r="N177" i="7"/>
  <c r="P178" i="7" s="1"/>
  <c r="L351" i="7"/>
  <c r="M350" i="7"/>
  <c r="O178" i="7" l="1"/>
  <c r="N178" i="7"/>
  <c r="P179" i="7" s="1"/>
  <c r="M351" i="7"/>
  <c r="L352" i="7"/>
  <c r="O179" i="7" l="1"/>
  <c r="N179" i="7"/>
  <c r="P180" i="7" s="1"/>
  <c r="M352" i="7"/>
  <c r="L353" i="7"/>
  <c r="O180" i="7" l="1"/>
  <c r="N180" i="7"/>
  <c r="P181" i="7" s="1"/>
  <c r="M353" i="7"/>
  <c r="L354" i="7"/>
  <c r="O181" i="7" l="1"/>
  <c r="N181" i="7"/>
  <c r="P182" i="7" s="1"/>
  <c r="L355" i="7"/>
  <c r="M354" i="7"/>
  <c r="O182" i="7" l="1"/>
  <c r="N182" i="7"/>
  <c r="P183" i="7" s="1"/>
  <c r="L356" i="7"/>
  <c r="M355" i="7"/>
  <c r="O183" i="7" l="1"/>
  <c r="N183" i="7"/>
  <c r="P184" i="7" s="1"/>
  <c r="L357" i="7"/>
  <c r="M356" i="7"/>
  <c r="O184" i="7" l="1"/>
  <c r="N184" i="7"/>
  <c r="P185" i="7" s="1"/>
  <c r="L358" i="7"/>
  <c r="M357" i="7"/>
  <c r="O185" i="7" l="1"/>
  <c r="N185" i="7"/>
  <c r="P186" i="7" s="1"/>
  <c r="M358" i="7"/>
  <c r="L359" i="7"/>
  <c r="O186" i="7" l="1"/>
  <c r="N186" i="7"/>
  <c r="P187" i="7" s="1"/>
  <c r="M359" i="7"/>
  <c r="L360" i="7"/>
  <c r="O187" i="7" l="1"/>
  <c r="N187" i="7"/>
  <c r="P188" i="7" s="1"/>
  <c r="M360" i="7"/>
  <c r="L361" i="7"/>
  <c r="O188" i="7" l="1"/>
  <c r="N188" i="7"/>
  <c r="P189" i="7" s="1"/>
  <c r="M361" i="7"/>
  <c r="L362" i="7"/>
  <c r="O189" i="7" l="1"/>
  <c r="N189" i="7"/>
  <c r="P190" i="7" s="1"/>
  <c r="M362" i="7"/>
  <c r="L363" i="7"/>
  <c r="O190" i="7" l="1"/>
  <c r="N190" i="7"/>
  <c r="P191" i="7" s="1"/>
  <c r="L364" i="7"/>
  <c r="M363" i="7"/>
  <c r="O191" i="7" l="1"/>
  <c r="N191" i="7"/>
  <c r="P192" i="7" s="1"/>
  <c r="L365" i="7"/>
  <c r="M364" i="7"/>
  <c r="O192" i="7" l="1"/>
  <c r="N192" i="7"/>
  <c r="P193" i="7" s="1"/>
  <c r="L366" i="7"/>
  <c r="M365" i="7"/>
  <c r="O193" i="7" l="1"/>
  <c r="N193" i="7"/>
  <c r="P194" i="7" s="1"/>
  <c r="L367" i="7"/>
  <c r="M366" i="7"/>
  <c r="O194" i="7" l="1"/>
  <c r="N194" i="7"/>
  <c r="P195" i="7" s="1"/>
  <c r="M367" i="7"/>
  <c r="L368" i="7"/>
  <c r="O195" i="7" l="1"/>
  <c r="N195" i="7"/>
  <c r="P196" i="7" s="1"/>
  <c r="M368" i="7"/>
  <c r="L369" i="7"/>
  <c r="O196" i="7" l="1"/>
  <c r="N196" i="7"/>
  <c r="P197" i="7" s="1"/>
  <c r="M369" i="7"/>
  <c r="L370" i="7"/>
  <c r="O197" i="7" l="1"/>
  <c r="N197" i="7"/>
  <c r="P198" i="7" s="1"/>
  <c r="L371" i="7"/>
  <c r="M370" i="7"/>
  <c r="O198" i="7" l="1"/>
  <c r="N198" i="7"/>
  <c r="P199" i="7" s="1"/>
  <c r="L372" i="7"/>
  <c r="M371" i="7"/>
  <c r="O199" i="7" l="1"/>
  <c r="N199" i="7"/>
  <c r="P200" i="7" s="1"/>
  <c r="L373" i="7"/>
  <c r="M372" i="7"/>
  <c r="O200" i="7" l="1"/>
  <c r="N200" i="7"/>
  <c r="P201" i="7" s="1"/>
  <c r="L374" i="7"/>
  <c r="M373" i="7"/>
  <c r="O201" i="7" l="1"/>
  <c r="N201" i="7"/>
  <c r="P202" i="7" s="1"/>
  <c r="L375" i="7"/>
  <c r="M374" i="7"/>
  <c r="O202" i="7" l="1"/>
  <c r="N202" i="7"/>
  <c r="P203" i="7" s="1"/>
  <c r="M375" i="7"/>
  <c r="L376" i="7"/>
  <c r="O203" i="7" l="1"/>
  <c r="N203" i="7"/>
  <c r="P204" i="7" s="1"/>
  <c r="M376" i="7"/>
  <c r="L377" i="7"/>
  <c r="O204" i="7" l="1"/>
  <c r="N204" i="7"/>
  <c r="P205" i="7" s="1"/>
  <c r="M377" i="7"/>
  <c r="L378" i="7"/>
  <c r="O205" i="7" l="1"/>
  <c r="N205" i="7"/>
  <c r="P206" i="7" s="1"/>
  <c r="L379" i="7"/>
  <c r="M378" i="7"/>
  <c r="O206" i="7" l="1"/>
  <c r="N206" i="7"/>
  <c r="P207" i="7" s="1"/>
  <c r="L380" i="7"/>
  <c r="M379" i="7"/>
  <c r="O207" i="7" l="1"/>
  <c r="N207" i="7"/>
  <c r="P208" i="7" s="1"/>
  <c r="L381" i="7"/>
  <c r="M380" i="7"/>
  <c r="O208" i="7" l="1"/>
  <c r="N208" i="7"/>
  <c r="P209" i="7" s="1"/>
  <c r="L382" i="7"/>
  <c r="M381" i="7"/>
  <c r="O209" i="7" l="1"/>
  <c r="N209" i="7"/>
  <c r="P210" i="7" s="1"/>
  <c r="L383" i="7"/>
  <c r="M382" i="7"/>
  <c r="O210" i="7" l="1"/>
  <c r="N210" i="7"/>
  <c r="P211" i="7" s="1"/>
  <c r="M383" i="7"/>
  <c r="L384" i="7"/>
  <c r="O211" i="7" l="1"/>
  <c r="N211" i="7"/>
  <c r="P212" i="7" s="1"/>
  <c r="M384" i="7"/>
  <c r="L385" i="7"/>
  <c r="O212" i="7" l="1"/>
  <c r="N212" i="7"/>
  <c r="P213" i="7" s="1"/>
  <c r="M385" i="7"/>
  <c r="L386" i="7"/>
  <c r="O213" i="7" l="1"/>
  <c r="N213" i="7"/>
  <c r="P214" i="7" s="1"/>
  <c r="M386" i="7"/>
  <c r="L387" i="7"/>
  <c r="O214" i="7" l="1"/>
  <c r="N214" i="7"/>
  <c r="P215" i="7" s="1"/>
  <c r="L388" i="7"/>
  <c r="M387" i="7"/>
  <c r="O215" i="7" l="1"/>
  <c r="N215" i="7"/>
  <c r="P216" i="7" s="1"/>
  <c r="L389" i="7"/>
  <c r="M388" i="7"/>
  <c r="O216" i="7" l="1"/>
  <c r="N216" i="7"/>
  <c r="P217" i="7" s="1"/>
  <c r="L390" i="7"/>
  <c r="M389" i="7"/>
  <c r="O217" i="7" l="1"/>
  <c r="N217" i="7"/>
  <c r="P218" i="7" s="1"/>
  <c r="M390" i="7"/>
  <c r="L391" i="7"/>
  <c r="O218" i="7" l="1"/>
  <c r="N218" i="7"/>
  <c r="P219" i="7" s="1"/>
  <c r="M391" i="7"/>
  <c r="L392" i="7"/>
  <c r="O219" i="7" l="1"/>
  <c r="N219" i="7"/>
  <c r="P220" i="7" s="1"/>
  <c r="M392" i="7"/>
  <c r="L393" i="7"/>
  <c r="O220" i="7" l="1"/>
  <c r="N220" i="7"/>
  <c r="P221" i="7" s="1"/>
  <c r="M393" i="7"/>
  <c r="L394" i="7"/>
  <c r="O221" i="7" l="1"/>
  <c r="N221" i="7"/>
  <c r="P222" i="7" s="1"/>
  <c r="M394" i="7"/>
  <c r="L395" i="7"/>
  <c r="O222" i="7" l="1"/>
  <c r="N222" i="7"/>
  <c r="P223" i="7" s="1"/>
  <c r="L396" i="7"/>
  <c r="M395" i="7"/>
  <c r="O223" i="7" l="1"/>
  <c r="N223" i="7"/>
  <c r="P224" i="7" s="1"/>
  <c r="L397" i="7"/>
  <c r="M396" i="7"/>
  <c r="O224" i="7" l="1"/>
  <c r="N224" i="7"/>
  <c r="P225" i="7" s="1"/>
  <c r="L398" i="7"/>
  <c r="M397" i="7"/>
  <c r="O225" i="7" l="1"/>
  <c r="N225" i="7"/>
  <c r="P226" i="7" s="1"/>
  <c r="M398" i="7"/>
  <c r="L399" i="7"/>
  <c r="O226" i="7" l="1"/>
  <c r="N226" i="7"/>
  <c r="P227" i="7" s="1"/>
  <c r="M399" i="7"/>
  <c r="L400" i="7"/>
  <c r="O227" i="7" l="1"/>
  <c r="N227" i="7"/>
  <c r="P228" i="7" s="1"/>
  <c r="M400" i="7"/>
  <c r="L401" i="7"/>
  <c r="O228" i="7" l="1"/>
  <c r="N228" i="7"/>
  <c r="P229" i="7" s="1"/>
  <c r="M401" i="7"/>
  <c r="L402" i="7"/>
  <c r="O229" i="7" l="1"/>
  <c r="N229" i="7"/>
  <c r="P230" i="7" s="1"/>
  <c r="L403" i="7"/>
  <c r="M402" i="7"/>
  <c r="O230" i="7" l="1"/>
  <c r="N230" i="7"/>
  <c r="P231" i="7" s="1"/>
  <c r="L404" i="7"/>
  <c r="M403" i="7"/>
  <c r="O231" i="7" l="1"/>
  <c r="N231" i="7"/>
  <c r="P232" i="7" s="1"/>
  <c r="L405" i="7"/>
  <c r="M404" i="7"/>
  <c r="O232" i="7" l="1"/>
  <c r="N232" i="7"/>
  <c r="P233" i="7" s="1"/>
  <c r="L406" i="7"/>
  <c r="M405" i="7"/>
  <c r="O233" i="7" l="1"/>
  <c r="N233" i="7"/>
  <c r="P234" i="7" s="1"/>
  <c r="L407" i="7"/>
  <c r="M406" i="7"/>
  <c r="O234" i="7" l="1"/>
  <c r="N234" i="7"/>
  <c r="P235" i="7" s="1"/>
  <c r="M407" i="7"/>
  <c r="L408" i="7"/>
  <c r="O235" i="7" l="1"/>
  <c r="N235" i="7"/>
  <c r="P236" i="7" s="1"/>
  <c r="M408" i="7"/>
  <c r="L409" i="7"/>
  <c r="O236" i="7" l="1"/>
  <c r="N236" i="7"/>
  <c r="P237" i="7" s="1"/>
  <c r="M409" i="7"/>
  <c r="L410" i="7"/>
  <c r="O237" i="7" l="1"/>
  <c r="N237" i="7"/>
  <c r="P238" i="7" s="1"/>
  <c r="L411" i="7"/>
  <c r="M410" i="7"/>
  <c r="O238" i="7" l="1"/>
  <c r="N238" i="7"/>
  <c r="P239" i="7" s="1"/>
  <c r="L412" i="7"/>
  <c r="M411" i="7"/>
  <c r="O239" i="7" l="1"/>
  <c r="N239" i="7"/>
  <c r="P240" i="7" s="1"/>
  <c r="L413" i="7"/>
  <c r="M412" i="7"/>
  <c r="O240" i="7" l="1"/>
  <c r="N240" i="7"/>
  <c r="P241" i="7" s="1"/>
  <c r="L414" i="7"/>
  <c r="M413" i="7"/>
  <c r="O241" i="7" l="1"/>
  <c r="N241" i="7"/>
  <c r="P242" i="7" s="1"/>
  <c r="L415" i="7"/>
  <c r="M414" i="7"/>
  <c r="O242" i="7" l="1"/>
  <c r="N242" i="7"/>
  <c r="P243" i="7" s="1"/>
  <c r="M415" i="7"/>
  <c r="L416" i="7"/>
  <c r="O243" i="7" l="1"/>
  <c r="N243" i="7"/>
  <c r="P244" i="7" s="1"/>
  <c r="M416" i="7"/>
  <c r="L417" i="7"/>
  <c r="O244" i="7" l="1"/>
  <c r="N244" i="7"/>
  <c r="P245" i="7" s="1"/>
  <c r="M417" i="7"/>
  <c r="L418" i="7"/>
  <c r="O245" i="7" l="1"/>
  <c r="N245" i="7"/>
  <c r="P246" i="7" s="1"/>
  <c r="L419" i="7"/>
  <c r="M418" i="7"/>
  <c r="O246" i="7" l="1"/>
  <c r="N246" i="7"/>
  <c r="P247" i="7" s="1"/>
  <c r="L420" i="7"/>
  <c r="M419" i="7"/>
  <c r="O247" i="7" l="1"/>
  <c r="N247" i="7"/>
  <c r="P248" i="7" s="1"/>
  <c r="L421" i="7"/>
  <c r="M420" i="7"/>
  <c r="O248" i="7" l="1"/>
  <c r="N248" i="7"/>
  <c r="P249" i="7" s="1"/>
  <c r="L422" i="7"/>
  <c r="M421" i="7"/>
  <c r="O249" i="7" l="1"/>
  <c r="N249" i="7"/>
  <c r="P250" i="7" s="1"/>
  <c r="L423" i="7"/>
  <c r="M422" i="7"/>
  <c r="O250" i="7" l="1"/>
  <c r="N250" i="7"/>
  <c r="P251" i="7" s="1"/>
  <c r="M423" i="7"/>
  <c r="L424" i="7"/>
  <c r="O251" i="7" l="1"/>
  <c r="N251" i="7"/>
  <c r="P252" i="7" s="1"/>
  <c r="M424" i="7"/>
  <c r="L425" i="7"/>
  <c r="O252" i="7" l="1"/>
  <c r="N252" i="7"/>
  <c r="P253" i="7" s="1"/>
  <c r="M425" i="7"/>
  <c r="L426" i="7"/>
  <c r="O253" i="7" l="1"/>
  <c r="N253" i="7"/>
  <c r="P254" i="7" s="1"/>
  <c r="M426" i="7"/>
  <c r="L427" i="7"/>
  <c r="O254" i="7" l="1"/>
  <c r="N254" i="7"/>
  <c r="P255" i="7" s="1"/>
  <c r="L428" i="7"/>
  <c r="M427" i="7"/>
  <c r="O255" i="7" l="1"/>
  <c r="N255" i="7"/>
  <c r="P256" i="7" s="1"/>
  <c r="L429" i="7"/>
  <c r="M428" i="7"/>
  <c r="O256" i="7" l="1"/>
  <c r="N256" i="7"/>
  <c r="P257" i="7" s="1"/>
  <c r="L430" i="7"/>
  <c r="M429" i="7"/>
  <c r="O257" i="7" l="1"/>
  <c r="N257" i="7"/>
  <c r="P258" i="7" s="1"/>
  <c r="L431" i="7"/>
  <c r="M430" i="7"/>
  <c r="O258" i="7" l="1"/>
  <c r="N258" i="7"/>
  <c r="P259" i="7" s="1"/>
  <c r="M431" i="7"/>
  <c r="L432" i="7"/>
  <c r="O259" i="7" l="1"/>
  <c r="N259" i="7"/>
  <c r="P260" i="7" s="1"/>
  <c r="M432" i="7"/>
  <c r="L433" i="7"/>
  <c r="O260" i="7" l="1"/>
  <c r="N260" i="7"/>
  <c r="P261" i="7" s="1"/>
  <c r="M433" i="7"/>
  <c r="L434" i="7"/>
  <c r="O261" i="7" l="1"/>
  <c r="N261" i="7"/>
  <c r="P262" i="7" s="1"/>
  <c r="L435" i="7"/>
  <c r="M434" i="7"/>
  <c r="O262" i="7" l="1"/>
  <c r="N262" i="7"/>
  <c r="P263" i="7" s="1"/>
  <c r="L436" i="7"/>
  <c r="M435" i="7"/>
  <c r="O263" i="7" l="1"/>
  <c r="N263" i="7"/>
  <c r="P264" i="7" s="1"/>
  <c r="L437" i="7"/>
  <c r="M436" i="7"/>
  <c r="O264" i="7" l="1"/>
  <c r="N264" i="7"/>
  <c r="P265" i="7" s="1"/>
  <c r="L438" i="7"/>
  <c r="M437" i="7"/>
  <c r="O265" i="7" l="1"/>
  <c r="N265" i="7"/>
  <c r="P266" i="7" s="1"/>
  <c r="L439" i="7"/>
  <c r="M438" i="7"/>
  <c r="O266" i="7" l="1"/>
  <c r="N266" i="7"/>
  <c r="P267" i="7" s="1"/>
  <c r="M439" i="7"/>
  <c r="L440" i="7"/>
  <c r="O267" i="7" l="1"/>
  <c r="N267" i="7"/>
  <c r="P268" i="7" s="1"/>
  <c r="M440" i="7"/>
  <c r="L441" i="7"/>
  <c r="O268" i="7" l="1"/>
  <c r="N268" i="7"/>
  <c r="P269" i="7" s="1"/>
  <c r="M441" i="7"/>
  <c r="L442" i="7"/>
  <c r="O269" i="7" l="1"/>
  <c r="N269" i="7"/>
  <c r="P270" i="7" s="1"/>
  <c r="L443" i="7"/>
  <c r="M442" i="7"/>
  <c r="O270" i="7" l="1"/>
  <c r="N270" i="7"/>
  <c r="P271" i="7" s="1"/>
  <c r="L444" i="7"/>
  <c r="M443" i="7"/>
  <c r="O271" i="7" l="1"/>
  <c r="N271" i="7"/>
  <c r="P272" i="7" s="1"/>
  <c r="L445" i="7"/>
  <c r="M444" i="7"/>
  <c r="O272" i="7" l="1"/>
  <c r="N272" i="7"/>
  <c r="P273" i="7" s="1"/>
  <c r="L446" i="7"/>
  <c r="M445" i="7"/>
  <c r="O273" i="7" l="1"/>
  <c r="N273" i="7"/>
  <c r="P274" i="7" s="1"/>
  <c r="L447" i="7"/>
  <c r="M446" i="7"/>
  <c r="O274" i="7" l="1"/>
  <c r="N274" i="7"/>
  <c r="P275" i="7" s="1"/>
  <c r="M447" i="7"/>
  <c r="L448" i="7"/>
  <c r="O275" i="7" l="1"/>
  <c r="N275" i="7"/>
  <c r="P276" i="7" s="1"/>
  <c r="M448" i="7"/>
  <c r="L449" i="7"/>
  <c r="O276" i="7" l="1"/>
  <c r="N276" i="7"/>
  <c r="P277" i="7" s="1"/>
  <c r="M449" i="7"/>
  <c r="L450" i="7"/>
  <c r="O277" i="7" l="1"/>
  <c r="N277" i="7"/>
  <c r="P278" i="7" s="1"/>
  <c r="M450" i="7"/>
  <c r="L451" i="7"/>
  <c r="O278" i="7" l="1"/>
  <c r="N278" i="7"/>
  <c r="P279" i="7" s="1"/>
  <c r="L452" i="7"/>
  <c r="M451" i="7"/>
  <c r="O279" i="7" l="1"/>
  <c r="N279" i="7"/>
  <c r="P280" i="7" s="1"/>
  <c r="L453" i="7"/>
  <c r="M452" i="7"/>
  <c r="O280" i="7" l="1"/>
  <c r="N280" i="7"/>
  <c r="P281" i="7" s="1"/>
  <c r="L454" i="7"/>
  <c r="M453" i="7"/>
  <c r="O281" i="7" l="1"/>
  <c r="N281" i="7"/>
  <c r="P282" i="7" s="1"/>
  <c r="M454" i="7"/>
  <c r="L455" i="7"/>
  <c r="O282" i="7" l="1"/>
  <c r="N282" i="7"/>
  <c r="P283" i="7" s="1"/>
  <c r="M455" i="7"/>
  <c r="L456" i="7"/>
  <c r="O283" i="7" l="1"/>
  <c r="N283" i="7"/>
  <c r="P284" i="7" s="1"/>
  <c r="M456" i="7"/>
  <c r="L457" i="7"/>
  <c r="O284" i="7" l="1"/>
  <c r="N284" i="7"/>
  <c r="P285" i="7" s="1"/>
  <c r="M457" i="7"/>
  <c r="L458" i="7"/>
  <c r="O285" i="7" l="1"/>
  <c r="N285" i="7"/>
  <c r="P286" i="7" s="1"/>
  <c r="M458" i="7"/>
  <c r="L459" i="7"/>
  <c r="O286" i="7" l="1"/>
  <c r="N286" i="7"/>
  <c r="P287" i="7" s="1"/>
  <c r="L460" i="7"/>
  <c r="M459" i="7"/>
  <c r="O287" i="7" l="1"/>
  <c r="N287" i="7"/>
  <c r="P288" i="7" s="1"/>
  <c r="L461" i="7"/>
  <c r="M460" i="7"/>
  <c r="O288" i="7" l="1"/>
  <c r="N288" i="7"/>
  <c r="P289" i="7" s="1"/>
  <c r="L462" i="7"/>
  <c r="M461" i="7"/>
  <c r="O289" i="7" l="1"/>
  <c r="N289" i="7"/>
  <c r="P290" i="7" s="1"/>
  <c r="M462" i="7"/>
  <c r="L463" i="7"/>
  <c r="O290" i="7" l="1"/>
  <c r="N290" i="7"/>
  <c r="P291" i="7" s="1"/>
  <c r="M463" i="7"/>
  <c r="L464" i="7"/>
  <c r="O291" i="7" l="1"/>
  <c r="N291" i="7"/>
  <c r="P292" i="7" s="1"/>
  <c r="M464" i="7"/>
  <c r="L465" i="7"/>
  <c r="O292" i="7" l="1"/>
  <c r="N292" i="7"/>
  <c r="P293" i="7" s="1"/>
  <c r="M465" i="7"/>
  <c r="L466" i="7"/>
  <c r="O293" i="7" l="1"/>
  <c r="N293" i="7"/>
  <c r="P294" i="7" s="1"/>
  <c r="L467" i="7"/>
  <c r="M466" i="7"/>
  <c r="O294" i="7" l="1"/>
  <c r="N294" i="7"/>
  <c r="P295" i="7" s="1"/>
  <c r="L468" i="7"/>
  <c r="M467" i="7"/>
  <c r="O295" i="7" l="1"/>
  <c r="N295" i="7"/>
  <c r="P296" i="7" s="1"/>
  <c r="L469" i="7"/>
  <c r="M468" i="7"/>
  <c r="O296" i="7" l="1"/>
  <c r="N296" i="7"/>
  <c r="P297" i="7" s="1"/>
  <c r="L470" i="7"/>
  <c r="M469" i="7"/>
  <c r="O297" i="7" l="1"/>
  <c r="N297" i="7"/>
  <c r="P298" i="7" s="1"/>
  <c r="L471" i="7"/>
  <c r="M470" i="7"/>
  <c r="O298" i="7" l="1"/>
  <c r="N298" i="7"/>
  <c r="P299" i="7" s="1"/>
  <c r="M471" i="7"/>
  <c r="L472" i="7"/>
  <c r="O299" i="7" l="1"/>
  <c r="N299" i="7"/>
  <c r="P300" i="7" s="1"/>
  <c r="M472" i="7"/>
  <c r="L473" i="7"/>
  <c r="O300" i="7" l="1"/>
  <c r="N300" i="7"/>
  <c r="P301" i="7" s="1"/>
  <c r="M473" i="7"/>
  <c r="L474" i="7"/>
  <c r="O301" i="7" l="1"/>
  <c r="N301" i="7"/>
  <c r="P302" i="7" s="1"/>
  <c r="L475" i="7"/>
  <c r="M474" i="7"/>
  <c r="O302" i="7" l="1"/>
  <c r="N302" i="7"/>
  <c r="P303" i="7" s="1"/>
  <c r="L476" i="7"/>
  <c r="M475" i="7"/>
  <c r="O303" i="7" l="1"/>
  <c r="N303" i="7"/>
  <c r="P304" i="7" s="1"/>
  <c r="L477" i="7"/>
  <c r="M476" i="7"/>
  <c r="O304" i="7" l="1"/>
  <c r="N304" i="7"/>
  <c r="P305" i="7" s="1"/>
  <c r="L478" i="7"/>
  <c r="M477" i="7"/>
  <c r="O305" i="7" l="1"/>
  <c r="N305" i="7"/>
  <c r="P306" i="7" s="1"/>
  <c r="L479" i="7"/>
  <c r="M478" i="7"/>
  <c r="O306" i="7" l="1"/>
  <c r="N306" i="7"/>
  <c r="P307" i="7" s="1"/>
  <c r="M479" i="7"/>
  <c r="L480" i="7"/>
  <c r="O307" i="7" l="1"/>
  <c r="N307" i="7"/>
  <c r="P308" i="7" s="1"/>
  <c r="M480" i="7"/>
  <c r="L481" i="7"/>
  <c r="O308" i="7" l="1"/>
  <c r="N308" i="7"/>
  <c r="P309" i="7" s="1"/>
  <c r="M481" i="7"/>
  <c r="L482" i="7"/>
  <c r="O309" i="7" l="1"/>
  <c r="N309" i="7"/>
  <c r="P310" i="7" s="1"/>
  <c r="L483" i="7"/>
  <c r="M482" i="7"/>
  <c r="O310" i="7" l="1"/>
  <c r="N310" i="7"/>
  <c r="P311" i="7" s="1"/>
  <c r="L484" i="7"/>
  <c r="M483" i="7"/>
  <c r="O311" i="7" l="1"/>
  <c r="N311" i="7"/>
  <c r="P312" i="7" s="1"/>
  <c r="L485" i="7"/>
  <c r="M484" i="7"/>
  <c r="O312" i="7" l="1"/>
  <c r="N312" i="7"/>
  <c r="P313" i="7" s="1"/>
  <c r="L486" i="7"/>
  <c r="M485" i="7"/>
  <c r="O313" i="7" l="1"/>
  <c r="N313" i="7"/>
  <c r="P314" i="7" s="1"/>
  <c r="L487" i="7"/>
  <c r="M486" i="7"/>
  <c r="O314" i="7" l="1"/>
  <c r="N314" i="7"/>
  <c r="P315" i="7" s="1"/>
  <c r="M487" i="7"/>
  <c r="L488" i="7"/>
  <c r="O315" i="7" l="1"/>
  <c r="N315" i="7"/>
  <c r="P316" i="7" s="1"/>
  <c r="M488" i="7"/>
  <c r="L489" i="7"/>
  <c r="O316" i="7" l="1"/>
  <c r="N316" i="7"/>
  <c r="P317" i="7" s="1"/>
  <c r="M489" i="7"/>
  <c r="L490" i="7"/>
  <c r="O317" i="7" l="1"/>
  <c r="N317" i="7"/>
  <c r="P318" i="7" s="1"/>
  <c r="L491" i="7"/>
  <c r="M490" i="7"/>
  <c r="O318" i="7" l="1"/>
  <c r="N318" i="7"/>
  <c r="P319" i="7" s="1"/>
  <c r="L492" i="7"/>
  <c r="M491" i="7"/>
  <c r="O319" i="7" l="1"/>
  <c r="N319" i="7"/>
  <c r="P320" i="7" s="1"/>
  <c r="L493" i="7"/>
  <c r="M492" i="7"/>
  <c r="O320" i="7" l="1"/>
  <c r="N320" i="7"/>
  <c r="P321" i="7" s="1"/>
  <c r="L494" i="7"/>
  <c r="M493" i="7"/>
  <c r="O321" i="7" l="1"/>
  <c r="N321" i="7"/>
  <c r="P322" i="7" s="1"/>
  <c r="L495" i="7"/>
  <c r="M494" i="7"/>
  <c r="O322" i="7" l="1"/>
  <c r="N322" i="7"/>
  <c r="P323" i="7" s="1"/>
  <c r="M495" i="7"/>
  <c r="L496" i="7"/>
  <c r="O323" i="7" l="1"/>
  <c r="N323" i="7"/>
  <c r="P324" i="7" s="1"/>
  <c r="M496" i="7"/>
  <c r="L497" i="7"/>
  <c r="O324" i="7" l="1"/>
  <c r="N324" i="7"/>
  <c r="P325" i="7" s="1"/>
  <c r="M497" i="7"/>
  <c r="L498" i="7"/>
  <c r="O325" i="7" l="1"/>
  <c r="N325" i="7"/>
  <c r="P326" i="7" s="1"/>
  <c r="L499" i="7"/>
  <c r="M498" i="7"/>
  <c r="O326" i="7" l="1"/>
  <c r="N326" i="7"/>
  <c r="P327" i="7" s="1"/>
  <c r="L500" i="7"/>
  <c r="M499" i="7"/>
  <c r="O327" i="7" l="1"/>
  <c r="N327" i="7"/>
  <c r="P328" i="7" s="1"/>
  <c r="L501" i="7"/>
  <c r="M500" i="7"/>
  <c r="O328" i="7" l="1"/>
  <c r="N328" i="7"/>
  <c r="P329" i="7" s="1"/>
  <c r="L502" i="7"/>
  <c r="M501" i="7"/>
  <c r="O329" i="7" l="1"/>
  <c r="N329" i="7"/>
  <c r="P330" i="7" s="1"/>
  <c r="L503" i="7"/>
  <c r="M502" i="7"/>
  <c r="O330" i="7" l="1"/>
  <c r="N330" i="7"/>
  <c r="P331" i="7" s="1"/>
  <c r="M503" i="7"/>
  <c r="L504" i="7"/>
  <c r="O331" i="7" l="1"/>
  <c r="N331" i="7"/>
  <c r="P332" i="7" s="1"/>
  <c r="M504" i="7"/>
  <c r="L505" i="7"/>
  <c r="O332" i="7" l="1"/>
  <c r="N332" i="7"/>
  <c r="P333" i="7" s="1"/>
  <c r="M505" i="7"/>
  <c r="L506" i="7"/>
  <c r="O333" i="7" l="1"/>
  <c r="N333" i="7"/>
  <c r="P334" i="7" s="1"/>
  <c r="L507" i="7"/>
  <c r="M506" i="7"/>
  <c r="O334" i="7" l="1"/>
  <c r="N334" i="7"/>
  <c r="P335" i="7" s="1"/>
  <c r="L508" i="7"/>
  <c r="M507" i="7"/>
  <c r="O335" i="7" l="1"/>
  <c r="N335" i="7"/>
  <c r="P336" i="7" s="1"/>
  <c r="L509" i="7"/>
  <c r="M508" i="7"/>
  <c r="O336" i="7" l="1"/>
  <c r="N336" i="7"/>
  <c r="P337" i="7" s="1"/>
  <c r="L510" i="7"/>
  <c r="M509" i="7"/>
  <c r="O337" i="7" l="1"/>
  <c r="N337" i="7"/>
  <c r="P338" i="7" s="1"/>
  <c r="L511" i="7"/>
  <c r="M510" i="7"/>
  <c r="O338" i="7" l="1"/>
  <c r="N338" i="7"/>
  <c r="P339" i="7" s="1"/>
  <c r="M511" i="7"/>
  <c r="L512" i="7"/>
  <c r="O339" i="7" l="1"/>
  <c r="N339" i="7"/>
  <c r="P340" i="7" s="1"/>
  <c r="M512" i="7"/>
  <c r="L513" i="7"/>
  <c r="O340" i="7" l="1"/>
  <c r="N340" i="7"/>
  <c r="P341" i="7" s="1"/>
  <c r="M513" i="7"/>
  <c r="L514" i="7"/>
  <c r="O341" i="7" l="1"/>
  <c r="N341" i="7"/>
  <c r="P342" i="7" s="1"/>
  <c r="L515" i="7"/>
  <c r="M514" i="7"/>
  <c r="O342" i="7" l="1"/>
  <c r="N342" i="7"/>
  <c r="P343" i="7" s="1"/>
  <c r="L516" i="7"/>
  <c r="M515" i="7"/>
  <c r="O343" i="7" l="1"/>
  <c r="N343" i="7"/>
  <c r="P344" i="7" s="1"/>
  <c r="L517" i="7"/>
  <c r="M516" i="7"/>
  <c r="O344" i="7" l="1"/>
  <c r="N344" i="7"/>
  <c r="P345" i="7" s="1"/>
  <c r="L518" i="7"/>
  <c r="M517" i="7"/>
  <c r="O345" i="7" l="1"/>
  <c r="N345" i="7"/>
  <c r="P346" i="7" s="1"/>
  <c r="M518" i="7"/>
  <c r="L519" i="7"/>
  <c r="O346" i="7" l="1"/>
  <c r="N346" i="7"/>
  <c r="P347" i="7" s="1"/>
  <c r="M519" i="7"/>
  <c r="L520" i="7"/>
  <c r="O347" i="7" l="1"/>
  <c r="N347" i="7"/>
  <c r="P348" i="7" s="1"/>
  <c r="M520" i="7"/>
  <c r="L521" i="7"/>
  <c r="O348" i="7" l="1"/>
  <c r="N348" i="7"/>
  <c r="P349" i="7" s="1"/>
  <c r="M521" i="7"/>
  <c r="L522" i="7"/>
  <c r="O349" i="7" l="1"/>
  <c r="N349" i="7"/>
  <c r="P350" i="7" s="1"/>
  <c r="M522" i="7"/>
  <c r="L523" i="7"/>
  <c r="O350" i="7" l="1"/>
  <c r="N350" i="7"/>
  <c r="P351" i="7" s="1"/>
  <c r="L524" i="7"/>
  <c r="M523" i="7"/>
  <c r="O351" i="7" l="1"/>
  <c r="N351" i="7"/>
  <c r="P352" i="7" s="1"/>
  <c r="L525" i="7"/>
  <c r="M524" i="7"/>
  <c r="O352" i="7" l="1"/>
  <c r="N352" i="7"/>
  <c r="P353" i="7" s="1"/>
  <c r="L526" i="7"/>
  <c r="M525" i="7"/>
  <c r="O353" i="7" l="1"/>
  <c r="N353" i="7"/>
  <c r="P354" i="7" s="1"/>
  <c r="M526" i="7"/>
  <c r="L527" i="7"/>
  <c r="O354" i="7" l="1"/>
  <c r="N354" i="7"/>
  <c r="P355" i="7" s="1"/>
  <c r="M527" i="7"/>
  <c r="L528" i="7"/>
  <c r="O355" i="7" l="1"/>
  <c r="N355" i="7"/>
  <c r="P356" i="7" s="1"/>
  <c r="M528" i="7"/>
  <c r="L529" i="7"/>
  <c r="O356" i="7" l="1"/>
  <c r="N356" i="7"/>
  <c r="P357" i="7" s="1"/>
  <c r="M529" i="7"/>
  <c r="L530" i="7"/>
  <c r="O357" i="7" l="1"/>
  <c r="N357" i="7"/>
  <c r="P358" i="7" s="1"/>
  <c r="L531" i="7"/>
  <c r="M530" i="7"/>
  <c r="O358" i="7" l="1"/>
  <c r="N358" i="7"/>
  <c r="P359" i="7" s="1"/>
  <c r="L532" i="7"/>
  <c r="M531" i="7"/>
  <c r="O359" i="7" l="1"/>
  <c r="N359" i="7"/>
  <c r="P360" i="7" s="1"/>
  <c r="L533" i="7"/>
  <c r="M532" i="7"/>
  <c r="O360" i="7" l="1"/>
  <c r="N360" i="7"/>
  <c r="P361" i="7" s="1"/>
  <c r="L534" i="7"/>
  <c r="M533" i="7"/>
  <c r="O361" i="7" l="1"/>
  <c r="N361" i="7"/>
  <c r="P362" i="7" s="1"/>
  <c r="M534" i="7"/>
  <c r="L535" i="7"/>
  <c r="O362" i="7" l="1"/>
  <c r="N362" i="7"/>
  <c r="P363" i="7" s="1"/>
  <c r="L536" i="7"/>
  <c r="M535" i="7"/>
  <c r="O363" i="7" l="1"/>
  <c r="N363" i="7"/>
  <c r="P364" i="7" s="1"/>
  <c r="M536" i="7"/>
  <c r="L537" i="7"/>
  <c r="O364" i="7" l="1"/>
  <c r="N364" i="7"/>
  <c r="P365" i="7" s="1"/>
  <c r="M537" i="7"/>
  <c r="L538" i="7"/>
  <c r="O365" i="7" l="1"/>
  <c r="N365" i="7"/>
  <c r="P366" i="7" s="1"/>
  <c r="L539" i="7"/>
  <c r="M538" i="7"/>
  <c r="O366" i="7" l="1"/>
  <c r="N366" i="7"/>
  <c r="P367" i="7" s="1"/>
  <c r="M539" i="7"/>
  <c r="L540" i="7"/>
  <c r="O367" i="7" l="1"/>
  <c r="N367" i="7"/>
  <c r="P368" i="7" s="1"/>
  <c r="L541" i="7"/>
  <c r="M540" i="7"/>
  <c r="O368" i="7" l="1"/>
  <c r="N368" i="7"/>
  <c r="P369" i="7" s="1"/>
  <c r="L542" i="7"/>
  <c r="M541" i="7"/>
  <c r="O369" i="7" l="1"/>
  <c r="N369" i="7"/>
  <c r="P370" i="7" s="1"/>
  <c r="M542" i="7"/>
  <c r="L543" i="7"/>
  <c r="O370" i="7" l="1"/>
  <c r="N370" i="7"/>
  <c r="P371" i="7" s="1"/>
  <c r="L544" i="7"/>
  <c r="M543" i="7"/>
  <c r="O371" i="7" l="1"/>
  <c r="N371" i="7"/>
  <c r="P372" i="7" s="1"/>
  <c r="M544" i="7"/>
  <c r="L545" i="7"/>
  <c r="O372" i="7" l="1"/>
  <c r="N372" i="7"/>
  <c r="P373" i="7" s="1"/>
  <c r="M545" i="7"/>
  <c r="L546" i="7"/>
  <c r="O373" i="7" l="1"/>
  <c r="N373" i="7"/>
  <c r="P374" i="7" s="1"/>
  <c r="L547" i="7"/>
  <c r="M546" i="7"/>
  <c r="O374" i="7" l="1"/>
  <c r="N374" i="7"/>
  <c r="P375" i="7" s="1"/>
  <c r="M547" i="7"/>
  <c r="L548" i="7"/>
  <c r="O375" i="7" l="1"/>
  <c r="N375" i="7"/>
  <c r="P376" i="7" s="1"/>
  <c r="L549" i="7"/>
  <c r="M548" i="7"/>
  <c r="O376" i="7" l="1"/>
  <c r="N376" i="7"/>
  <c r="P377" i="7" s="1"/>
  <c r="L550" i="7"/>
  <c r="M549" i="7"/>
  <c r="O377" i="7" l="1"/>
  <c r="N377" i="7"/>
  <c r="P378" i="7" s="1"/>
  <c r="M550" i="7"/>
  <c r="L551" i="7"/>
  <c r="O378" i="7" l="1"/>
  <c r="N378" i="7"/>
  <c r="P379" i="7" s="1"/>
  <c r="L552" i="7"/>
  <c r="M551" i="7"/>
  <c r="O379" i="7" l="1"/>
  <c r="N379" i="7"/>
  <c r="P380" i="7" s="1"/>
  <c r="M552" i="7"/>
  <c r="L553" i="7"/>
  <c r="O380" i="7" l="1"/>
  <c r="N380" i="7"/>
  <c r="P381" i="7" s="1"/>
  <c r="M553" i="7"/>
  <c r="L554" i="7"/>
  <c r="O381" i="7" l="1"/>
  <c r="N381" i="7"/>
  <c r="P382" i="7" s="1"/>
  <c r="L555" i="7"/>
  <c r="M554" i="7"/>
  <c r="O382" i="7" l="1"/>
  <c r="N382" i="7"/>
  <c r="P383" i="7" s="1"/>
  <c r="M555" i="7"/>
  <c r="L556" i="7"/>
  <c r="O383" i="7" l="1"/>
  <c r="N383" i="7"/>
  <c r="P384" i="7" s="1"/>
  <c r="L557" i="7"/>
  <c r="M556" i="7"/>
  <c r="O384" i="7" l="1"/>
  <c r="N384" i="7"/>
  <c r="P385" i="7" s="1"/>
  <c r="L558" i="7"/>
  <c r="M557" i="7"/>
  <c r="O385" i="7" l="1"/>
  <c r="N385" i="7"/>
  <c r="P386" i="7" s="1"/>
  <c r="M558" i="7"/>
  <c r="L559" i="7"/>
  <c r="O386" i="7" l="1"/>
  <c r="N386" i="7"/>
  <c r="P387" i="7" s="1"/>
  <c r="L560" i="7"/>
  <c r="M559" i="7"/>
  <c r="O387" i="7" l="1"/>
  <c r="N387" i="7"/>
  <c r="P388" i="7" s="1"/>
  <c r="M560" i="7"/>
  <c r="L561" i="7"/>
  <c r="O388" i="7" l="1"/>
  <c r="N388" i="7"/>
  <c r="P389" i="7" s="1"/>
  <c r="M561" i="7"/>
  <c r="L562" i="7"/>
  <c r="O389" i="7" l="1"/>
  <c r="N389" i="7"/>
  <c r="P390" i="7" s="1"/>
  <c r="L563" i="7"/>
  <c r="M562" i="7"/>
  <c r="O390" i="7" l="1"/>
  <c r="N390" i="7"/>
  <c r="P391" i="7" s="1"/>
  <c r="M563" i="7"/>
  <c r="L564" i="7"/>
  <c r="O391" i="7" l="1"/>
  <c r="N391" i="7"/>
  <c r="P392" i="7" s="1"/>
  <c r="L565" i="7"/>
  <c r="M564" i="7"/>
  <c r="O392" i="7" l="1"/>
  <c r="N392" i="7"/>
  <c r="P393" i="7" s="1"/>
  <c r="L566" i="7"/>
  <c r="M565" i="7"/>
  <c r="O393" i="7" l="1"/>
  <c r="N393" i="7"/>
  <c r="P394" i="7" s="1"/>
  <c r="M566" i="7"/>
  <c r="L567" i="7"/>
  <c r="O394" i="7" l="1"/>
  <c r="N394" i="7"/>
  <c r="P395" i="7" s="1"/>
  <c r="L568" i="7"/>
  <c r="M567" i="7"/>
  <c r="O395" i="7" l="1"/>
  <c r="N395" i="7"/>
  <c r="P396" i="7" s="1"/>
  <c r="M568" i="7"/>
  <c r="L569" i="7"/>
  <c r="O396" i="7" l="1"/>
  <c r="N396" i="7"/>
  <c r="P397" i="7" s="1"/>
  <c r="M569" i="7"/>
  <c r="L570" i="7"/>
  <c r="O397" i="7" l="1"/>
  <c r="N397" i="7"/>
  <c r="P398" i="7" s="1"/>
  <c r="L571" i="7"/>
  <c r="M570" i="7"/>
  <c r="O398" i="7" l="1"/>
  <c r="N398" i="7"/>
  <c r="P399" i="7" s="1"/>
  <c r="M571" i="7"/>
  <c r="L572" i="7"/>
  <c r="O399" i="7" l="1"/>
  <c r="N399" i="7"/>
  <c r="P400" i="7" s="1"/>
  <c r="L573" i="7"/>
  <c r="M572" i="7"/>
  <c r="O400" i="7" l="1"/>
  <c r="N400" i="7"/>
  <c r="P401" i="7" s="1"/>
  <c r="L574" i="7"/>
  <c r="M573" i="7"/>
  <c r="O401" i="7" l="1"/>
  <c r="N401" i="7"/>
  <c r="P402" i="7" s="1"/>
  <c r="M574" i="7"/>
  <c r="L575" i="7"/>
  <c r="O402" i="7" l="1"/>
  <c r="N402" i="7"/>
  <c r="P403" i="7" s="1"/>
  <c r="L576" i="7"/>
  <c r="M575" i="7"/>
  <c r="O403" i="7" l="1"/>
  <c r="N403" i="7"/>
  <c r="P404" i="7" s="1"/>
  <c r="M576" i="7"/>
  <c r="L577" i="7"/>
  <c r="O404" i="7" l="1"/>
  <c r="N404" i="7"/>
  <c r="P405" i="7" s="1"/>
  <c r="M577" i="7"/>
  <c r="L578" i="7"/>
  <c r="O405" i="7" l="1"/>
  <c r="N405" i="7"/>
  <c r="P406" i="7" s="1"/>
  <c r="L579" i="7"/>
  <c r="M578" i="7"/>
  <c r="O406" i="7" l="1"/>
  <c r="N406" i="7"/>
  <c r="P407" i="7" s="1"/>
  <c r="M579" i="7"/>
  <c r="L580" i="7"/>
  <c r="O407" i="7" l="1"/>
  <c r="N407" i="7"/>
  <c r="P408" i="7" s="1"/>
  <c r="L581" i="7"/>
  <c r="M580" i="7"/>
  <c r="O408" i="7" l="1"/>
  <c r="N408" i="7"/>
  <c r="P409" i="7" s="1"/>
  <c r="L582" i="7"/>
  <c r="M581" i="7"/>
  <c r="O409" i="7" l="1"/>
  <c r="N409" i="7"/>
  <c r="P410" i="7" s="1"/>
  <c r="M582" i="7"/>
  <c r="L583" i="7"/>
  <c r="O410" i="7" l="1"/>
  <c r="N410" i="7"/>
  <c r="P411" i="7" s="1"/>
  <c r="L584" i="7"/>
  <c r="M583" i="7"/>
  <c r="O411" i="7" l="1"/>
  <c r="N411" i="7"/>
  <c r="P412" i="7" s="1"/>
  <c r="M584" i="7"/>
  <c r="L585" i="7"/>
  <c r="O412" i="7" l="1"/>
  <c r="N412" i="7"/>
  <c r="P413" i="7" s="1"/>
  <c r="M585" i="7"/>
  <c r="L586" i="7"/>
  <c r="O413" i="7" l="1"/>
  <c r="N413" i="7"/>
  <c r="P414" i="7" s="1"/>
  <c r="L587" i="7"/>
  <c r="M586" i="7"/>
  <c r="O414" i="7" l="1"/>
  <c r="N414" i="7"/>
  <c r="P415" i="7" s="1"/>
  <c r="M587" i="7"/>
  <c r="L588" i="7"/>
  <c r="O415" i="7" l="1"/>
  <c r="N415" i="7"/>
  <c r="P416" i="7" s="1"/>
  <c r="L589" i="7"/>
  <c r="M588" i="7"/>
  <c r="O416" i="7" l="1"/>
  <c r="N416" i="7"/>
  <c r="P417" i="7" s="1"/>
  <c r="L590" i="7"/>
  <c r="M589" i="7"/>
  <c r="O417" i="7" l="1"/>
  <c r="N417" i="7"/>
  <c r="P418" i="7" s="1"/>
  <c r="M590" i="7"/>
  <c r="L591" i="7"/>
  <c r="O418" i="7" l="1"/>
  <c r="N418" i="7"/>
  <c r="P419" i="7" s="1"/>
  <c r="L592" i="7"/>
  <c r="M591" i="7"/>
  <c r="O419" i="7" l="1"/>
  <c r="N419" i="7"/>
  <c r="P420" i="7" s="1"/>
  <c r="M592" i="7"/>
  <c r="L593" i="7"/>
  <c r="O420" i="7" l="1"/>
  <c r="N420" i="7"/>
  <c r="P421" i="7" s="1"/>
  <c r="L594" i="7"/>
  <c r="M593" i="7"/>
  <c r="O421" i="7" l="1"/>
  <c r="N421" i="7"/>
  <c r="P422" i="7" s="1"/>
  <c r="L595" i="7"/>
  <c r="M594" i="7"/>
  <c r="O422" i="7" l="1"/>
  <c r="N422" i="7"/>
  <c r="P423" i="7" s="1"/>
  <c r="L596" i="7"/>
  <c r="M595" i="7"/>
  <c r="O423" i="7" l="1"/>
  <c r="N423" i="7"/>
  <c r="P424" i="7" s="1"/>
  <c r="M596" i="7"/>
  <c r="L597" i="7"/>
  <c r="O424" i="7" l="1"/>
  <c r="N424" i="7"/>
  <c r="P425" i="7" s="1"/>
  <c r="L598" i="7"/>
  <c r="M597" i="7"/>
  <c r="O425" i="7" l="1"/>
  <c r="N425" i="7"/>
  <c r="P426" i="7" s="1"/>
  <c r="M598" i="7"/>
  <c r="L599" i="7"/>
  <c r="O426" i="7" l="1"/>
  <c r="N426" i="7"/>
  <c r="P427" i="7" s="1"/>
  <c r="M599" i="7"/>
  <c r="L600" i="7"/>
  <c r="O427" i="7" l="1"/>
  <c r="N427" i="7"/>
  <c r="P428" i="7" s="1"/>
  <c r="M600" i="7"/>
  <c r="L601" i="7"/>
  <c r="O428" i="7" l="1"/>
  <c r="N428" i="7"/>
  <c r="P429" i="7" s="1"/>
  <c r="L602" i="7"/>
  <c r="M601" i="7"/>
  <c r="O429" i="7" l="1"/>
  <c r="N429" i="7"/>
  <c r="P430" i="7" s="1"/>
  <c r="L603" i="7"/>
  <c r="M602" i="7"/>
  <c r="O430" i="7" l="1"/>
  <c r="N430" i="7"/>
  <c r="P431" i="7" s="1"/>
  <c r="L604" i="7"/>
  <c r="M603" i="7"/>
  <c r="O431" i="7" l="1"/>
  <c r="N431" i="7"/>
  <c r="P432" i="7" s="1"/>
  <c r="L605" i="7"/>
  <c r="M604" i="7"/>
  <c r="O432" i="7" l="1"/>
  <c r="N432" i="7"/>
  <c r="P433" i="7" s="1"/>
  <c r="L606" i="7"/>
  <c r="M605" i="7"/>
  <c r="O433" i="7" l="1"/>
  <c r="N433" i="7"/>
  <c r="P434" i="7" s="1"/>
  <c r="M606" i="7"/>
  <c r="L607" i="7"/>
  <c r="O434" i="7" l="1"/>
  <c r="N434" i="7"/>
  <c r="P435" i="7" s="1"/>
  <c r="M607" i="7"/>
  <c r="L608" i="7"/>
  <c r="O435" i="7" l="1"/>
  <c r="N435" i="7"/>
  <c r="P436" i="7" s="1"/>
  <c r="L609" i="7"/>
  <c r="M608" i="7"/>
  <c r="O436" i="7" l="1"/>
  <c r="N436" i="7"/>
  <c r="P437" i="7" s="1"/>
  <c r="M609" i="7"/>
  <c r="L610" i="7"/>
  <c r="O437" i="7" l="1"/>
  <c r="N437" i="7"/>
  <c r="P438" i="7" s="1"/>
  <c r="L611" i="7"/>
  <c r="M610" i="7"/>
  <c r="O438" i="7" l="1"/>
  <c r="N438" i="7"/>
  <c r="P439" i="7" s="1"/>
  <c r="L612" i="7"/>
  <c r="M611" i="7"/>
  <c r="O439" i="7" l="1"/>
  <c r="N439" i="7"/>
  <c r="P440" i="7" s="1"/>
  <c r="M612" i="7"/>
  <c r="L613" i="7"/>
  <c r="O440" i="7" l="1"/>
  <c r="N440" i="7"/>
  <c r="P441" i="7" s="1"/>
  <c r="L614" i="7"/>
  <c r="M613" i="7"/>
  <c r="O441" i="7" l="1"/>
  <c r="N441" i="7"/>
  <c r="P442" i="7" s="1"/>
  <c r="M614" i="7"/>
  <c r="L615" i="7"/>
  <c r="O442" i="7" l="1"/>
  <c r="N442" i="7"/>
  <c r="P443" i="7" s="1"/>
  <c r="M615" i="7"/>
  <c r="L616" i="7"/>
  <c r="O443" i="7" l="1"/>
  <c r="N443" i="7"/>
  <c r="P444" i="7" s="1"/>
  <c r="L617" i="7"/>
  <c r="M616" i="7"/>
  <c r="O444" i="7" l="1"/>
  <c r="N444" i="7"/>
  <c r="P445" i="7" s="1"/>
  <c r="L618" i="7"/>
  <c r="M617" i="7"/>
  <c r="O445" i="7" l="1"/>
  <c r="N445" i="7"/>
  <c r="P446" i="7" s="1"/>
  <c r="L619" i="7"/>
  <c r="M618" i="7"/>
  <c r="O446" i="7" l="1"/>
  <c r="N446" i="7"/>
  <c r="P447" i="7" s="1"/>
  <c r="L620" i="7"/>
  <c r="M619" i="7"/>
  <c r="O447" i="7" l="1"/>
  <c r="N447" i="7"/>
  <c r="P448" i="7" s="1"/>
  <c r="M620" i="7"/>
  <c r="L621" i="7"/>
  <c r="O448" i="7" l="1"/>
  <c r="N448" i="7"/>
  <c r="P449" i="7" s="1"/>
  <c r="L622" i="7"/>
  <c r="M621" i="7"/>
  <c r="O449" i="7" l="1"/>
  <c r="N449" i="7"/>
  <c r="P450" i="7" s="1"/>
  <c r="M622" i="7"/>
  <c r="L623" i="7"/>
  <c r="O450" i="7" l="1"/>
  <c r="N450" i="7"/>
  <c r="P451" i="7" s="1"/>
  <c r="M623" i="7"/>
  <c r="L624" i="7"/>
  <c r="O451" i="7" l="1"/>
  <c r="N451" i="7"/>
  <c r="P452" i="7" s="1"/>
  <c r="L625" i="7"/>
  <c r="M624" i="7"/>
  <c r="O452" i="7" l="1"/>
  <c r="N452" i="7"/>
  <c r="P453" i="7" s="1"/>
  <c r="M625" i="7"/>
  <c r="L626" i="7"/>
  <c r="O453" i="7" l="1"/>
  <c r="N453" i="7"/>
  <c r="P454" i="7" s="1"/>
  <c r="L627" i="7"/>
  <c r="M626" i="7"/>
  <c r="O454" i="7" l="1"/>
  <c r="N454" i="7"/>
  <c r="P455" i="7" s="1"/>
  <c r="L628" i="7"/>
  <c r="M627" i="7"/>
  <c r="O455" i="7" l="1"/>
  <c r="N455" i="7"/>
  <c r="P456" i="7" s="1"/>
  <c r="L629" i="7"/>
  <c r="M628" i="7"/>
  <c r="O456" i="7" l="1"/>
  <c r="N456" i="7"/>
  <c r="P457" i="7" s="1"/>
  <c r="M629" i="7"/>
  <c r="L630" i="7"/>
  <c r="O457" i="7" l="1"/>
  <c r="N457" i="7"/>
  <c r="P458" i="7" s="1"/>
  <c r="M630" i="7"/>
  <c r="L631" i="7"/>
  <c r="O458" i="7" l="1"/>
  <c r="N458" i="7"/>
  <c r="P459" i="7" s="1"/>
  <c r="M631" i="7"/>
  <c r="L632" i="7"/>
  <c r="O459" i="7" l="1"/>
  <c r="N459" i="7"/>
  <c r="P460" i="7" s="1"/>
  <c r="M632" i="7"/>
  <c r="L633" i="7"/>
  <c r="O460" i="7" l="1"/>
  <c r="N460" i="7"/>
  <c r="P461" i="7" s="1"/>
  <c r="M633" i="7"/>
  <c r="L634" i="7"/>
  <c r="O461" i="7" l="1"/>
  <c r="N461" i="7"/>
  <c r="P462" i="7" s="1"/>
  <c r="L635" i="7"/>
  <c r="M634" i="7"/>
  <c r="O462" i="7" l="1"/>
  <c r="N462" i="7"/>
  <c r="P463" i="7" s="1"/>
  <c r="L636" i="7"/>
  <c r="M635" i="7"/>
  <c r="O463" i="7" l="1"/>
  <c r="N463" i="7"/>
  <c r="P464" i="7" s="1"/>
  <c r="L637" i="7"/>
  <c r="M636" i="7"/>
  <c r="O464" i="7" l="1"/>
  <c r="N464" i="7"/>
  <c r="P465" i="7" s="1"/>
  <c r="M637" i="7"/>
  <c r="L638" i="7"/>
  <c r="O465" i="7" l="1"/>
  <c r="N465" i="7"/>
  <c r="P466" i="7" s="1"/>
  <c r="M638" i="7"/>
  <c r="L639" i="7"/>
  <c r="O466" i="7" l="1"/>
  <c r="N466" i="7"/>
  <c r="P467" i="7" s="1"/>
  <c r="M639" i="7"/>
  <c r="L640" i="7"/>
  <c r="O467" i="7" l="1"/>
  <c r="N467" i="7"/>
  <c r="P468" i="7" s="1"/>
  <c r="M640" i="7"/>
  <c r="L641" i="7"/>
  <c r="O468" i="7" l="1"/>
  <c r="N468" i="7"/>
  <c r="P469" i="7" s="1"/>
  <c r="L642" i="7"/>
  <c r="M641" i="7"/>
  <c r="O469" i="7" l="1"/>
  <c r="N469" i="7"/>
  <c r="P470" i="7" s="1"/>
  <c r="L643" i="7"/>
  <c r="M642" i="7"/>
  <c r="O470" i="7" l="1"/>
  <c r="N470" i="7"/>
  <c r="P471" i="7" s="1"/>
  <c r="L644" i="7"/>
  <c r="M643" i="7"/>
  <c r="O471" i="7" l="1"/>
  <c r="N471" i="7"/>
  <c r="P472" i="7" s="1"/>
  <c r="L645" i="7"/>
  <c r="M644" i="7"/>
  <c r="O472" i="7" l="1"/>
  <c r="N472" i="7"/>
  <c r="P473" i="7" s="1"/>
  <c r="L646" i="7"/>
  <c r="M645" i="7"/>
  <c r="O473" i="7" l="1"/>
  <c r="N473" i="7"/>
  <c r="P474" i="7" s="1"/>
  <c r="M646" i="7"/>
  <c r="L647" i="7"/>
  <c r="O474" i="7" l="1"/>
  <c r="N474" i="7"/>
  <c r="P475" i="7" s="1"/>
  <c r="M647" i="7"/>
  <c r="L648" i="7"/>
  <c r="O475" i="7" l="1"/>
  <c r="N475" i="7"/>
  <c r="P476" i="7" s="1"/>
  <c r="M648" i="7"/>
  <c r="L649" i="7"/>
  <c r="O476" i="7" l="1"/>
  <c r="N476" i="7"/>
  <c r="P477" i="7" s="1"/>
  <c r="L650" i="7"/>
  <c r="M649" i="7"/>
  <c r="O477" i="7" l="1"/>
  <c r="N477" i="7"/>
  <c r="P478" i="7" s="1"/>
  <c r="L651" i="7"/>
  <c r="M650" i="7"/>
  <c r="O478" i="7" l="1"/>
  <c r="N478" i="7"/>
  <c r="P479" i="7" s="1"/>
  <c r="L652" i="7"/>
  <c r="M651" i="7"/>
  <c r="O479" i="7" l="1"/>
  <c r="N479" i="7"/>
  <c r="P480" i="7" s="1"/>
  <c r="L653" i="7"/>
  <c r="M652" i="7"/>
  <c r="O480" i="7" l="1"/>
  <c r="N480" i="7"/>
  <c r="P481" i="7" s="1"/>
  <c r="L654" i="7"/>
  <c r="M653" i="7"/>
  <c r="O481" i="7" l="1"/>
  <c r="N481" i="7"/>
  <c r="P482" i="7" s="1"/>
  <c r="M654" i="7"/>
  <c r="L655" i="7"/>
  <c r="O482" i="7" l="1"/>
  <c r="N482" i="7"/>
  <c r="P483" i="7" s="1"/>
  <c r="M655" i="7"/>
  <c r="L656" i="7"/>
  <c r="O483" i="7" l="1"/>
  <c r="N483" i="7"/>
  <c r="P484" i="7" s="1"/>
  <c r="M656" i="7"/>
  <c r="L657" i="7"/>
  <c r="O484" i="7" l="1"/>
  <c r="N484" i="7"/>
  <c r="P485" i="7" s="1"/>
  <c r="L658" i="7"/>
  <c r="M657" i="7"/>
  <c r="O485" i="7" l="1"/>
  <c r="N485" i="7"/>
  <c r="P486" i="7" s="1"/>
  <c r="L659" i="7"/>
  <c r="M658" i="7"/>
  <c r="O486" i="7" l="1"/>
  <c r="N486" i="7"/>
  <c r="P487" i="7" s="1"/>
  <c r="L660" i="7"/>
  <c r="M659" i="7"/>
  <c r="O487" i="7" l="1"/>
  <c r="N487" i="7"/>
  <c r="P488" i="7" s="1"/>
  <c r="L661" i="7"/>
  <c r="M660" i="7"/>
  <c r="O488" i="7" l="1"/>
  <c r="N488" i="7"/>
  <c r="P489" i="7" s="1"/>
  <c r="L662" i="7"/>
  <c r="M661" i="7"/>
  <c r="O489" i="7" l="1"/>
  <c r="N489" i="7"/>
  <c r="P490" i="7" s="1"/>
  <c r="M662" i="7"/>
  <c r="L663" i="7"/>
  <c r="O490" i="7" l="1"/>
  <c r="N490" i="7"/>
  <c r="P491" i="7" s="1"/>
  <c r="M663" i="7"/>
  <c r="L664" i="7"/>
  <c r="O491" i="7" l="1"/>
  <c r="N491" i="7"/>
  <c r="P492" i="7" s="1"/>
  <c r="M664" i="7"/>
  <c r="L665" i="7"/>
  <c r="O492" i="7" l="1"/>
  <c r="N492" i="7"/>
  <c r="P493" i="7" s="1"/>
  <c r="L666" i="7"/>
  <c r="M665" i="7"/>
  <c r="O493" i="7" l="1"/>
  <c r="N493" i="7"/>
  <c r="P494" i="7" s="1"/>
  <c r="L667" i="7"/>
  <c r="M666" i="7"/>
  <c r="O494" i="7" l="1"/>
  <c r="N494" i="7"/>
  <c r="P495" i="7" s="1"/>
  <c r="L668" i="7"/>
  <c r="M667" i="7"/>
  <c r="O495" i="7" l="1"/>
  <c r="N495" i="7"/>
  <c r="P496" i="7" s="1"/>
  <c r="L669" i="7"/>
  <c r="M668" i="7"/>
  <c r="O496" i="7" l="1"/>
  <c r="N496" i="7"/>
  <c r="P497" i="7" s="1"/>
  <c r="L670" i="7"/>
  <c r="M669" i="7"/>
  <c r="O497" i="7" l="1"/>
  <c r="N497" i="7"/>
  <c r="P498" i="7" s="1"/>
  <c r="M670" i="7"/>
  <c r="L671" i="7"/>
  <c r="O498" i="7" l="1"/>
  <c r="N498" i="7"/>
  <c r="P499" i="7" s="1"/>
  <c r="M671" i="7"/>
  <c r="L672" i="7"/>
  <c r="O499" i="7" l="1"/>
  <c r="N499" i="7"/>
  <c r="P500" i="7" s="1"/>
  <c r="M672" i="7"/>
  <c r="L673" i="7"/>
  <c r="O500" i="7" l="1"/>
  <c r="N500" i="7"/>
  <c r="P501" i="7" s="1"/>
  <c r="L674" i="7"/>
  <c r="M673" i="7"/>
  <c r="O501" i="7" l="1"/>
  <c r="N501" i="7"/>
  <c r="P502" i="7" s="1"/>
  <c r="L675" i="7"/>
  <c r="M674" i="7"/>
  <c r="O502" i="7" l="1"/>
  <c r="N502" i="7"/>
  <c r="P503" i="7" s="1"/>
  <c r="L676" i="7"/>
  <c r="M675" i="7"/>
  <c r="O503" i="7" l="1"/>
  <c r="N503" i="7"/>
  <c r="P504" i="7" s="1"/>
  <c r="L677" i="7"/>
  <c r="M676" i="7"/>
  <c r="O504" i="7" l="1"/>
  <c r="N504" i="7"/>
  <c r="P505" i="7" s="1"/>
  <c r="L678" i="7"/>
  <c r="M677" i="7"/>
  <c r="O505" i="7" l="1"/>
  <c r="N505" i="7"/>
  <c r="P506" i="7" s="1"/>
  <c r="M678" i="7"/>
  <c r="L679" i="7"/>
  <c r="O506" i="7" l="1"/>
  <c r="N506" i="7"/>
  <c r="P507" i="7" s="1"/>
  <c r="M679" i="7"/>
  <c r="L680" i="7"/>
  <c r="O507" i="7" l="1"/>
  <c r="N507" i="7"/>
  <c r="P508" i="7" s="1"/>
  <c r="M680" i="7"/>
  <c r="L681" i="7"/>
  <c r="O508" i="7" l="1"/>
  <c r="N508" i="7"/>
  <c r="P509" i="7" s="1"/>
  <c r="L682" i="7"/>
  <c r="M681" i="7"/>
  <c r="O509" i="7" l="1"/>
  <c r="N509" i="7"/>
  <c r="P510" i="7" s="1"/>
  <c r="L683" i="7"/>
  <c r="M682" i="7"/>
  <c r="O510" i="7" l="1"/>
  <c r="N510" i="7"/>
  <c r="P511" i="7" s="1"/>
  <c r="L684" i="7"/>
  <c r="M683" i="7"/>
  <c r="O511" i="7" l="1"/>
  <c r="N511" i="7"/>
  <c r="P512" i="7" s="1"/>
  <c r="L685" i="7"/>
  <c r="M684" i="7"/>
  <c r="O512" i="7" l="1"/>
  <c r="N512" i="7"/>
  <c r="P513" i="7" s="1"/>
  <c r="L686" i="7"/>
  <c r="M685" i="7"/>
  <c r="O513" i="7" l="1"/>
  <c r="N513" i="7"/>
  <c r="P514" i="7" s="1"/>
  <c r="M686" i="7"/>
  <c r="L687" i="7"/>
  <c r="O514" i="7" l="1"/>
  <c r="N514" i="7"/>
  <c r="P515" i="7" s="1"/>
  <c r="M687" i="7"/>
  <c r="L688" i="7"/>
  <c r="O515" i="7" l="1"/>
  <c r="N515" i="7"/>
  <c r="P516" i="7" s="1"/>
  <c r="M688" i="7"/>
  <c r="L689" i="7"/>
  <c r="O516" i="7" l="1"/>
  <c r="N516" i="7"/>
  <c r="P517" i="7" s="1"/>
  <c r="M689" i="7"/>
  <c r="L690" i="7"/>
  <c r="O517" i="7" l="1"/>
  <c r="N517" i="7"/>
  <c r="P518" i="7" s="1"/>
  <c r="L691" i="7"/>
  <c r="M690" i="7"/>
  <c r="O518" i="7" l="1"/>
  <c r="N518" i="7"/>
  <c r="P519" i="7" s="1"/>
  <c r="L692" i="7"/>
  <c r="M691" i="7"/>
  <c r="O519" i="7" l="1"/>
  <c r="N519" i="7"/>
  <c r="P520" i="7" s="1"/>
  <c r="L693" i="7"/>
  <c r="M692" i="7"/>
  <c r="O520" i="7" l="1"/>
  <c r="N520" i="7"/>
  <c r="P521" i="7" s="1"/>
  <c r="M693" i="7"/>
  <c r="L694" i="7"/>
  <c r="O521" i="7" l="1"/>
  <c r="N521" i="7"/>
  <c r="P522" i="7" s="1"/>
  <c r="M694" i="7"/>
  <c r="L695" i="7"/>
  <c r="O522" i="7" l="1"/>
  <c r="N522" i="7"/>
  <c r="P523" i="7" s="1"/>
  <c r="M695" i="7"/>
  <c r="L696" i="7"/>
  <c r="O523" i="7" l="1"/>
  <c r="N523" i="7"/>
  <c r="P524" i="7" s="1"/>
  <c r="M696" i="7"/>
  <c r="L697" i="7"/>
  <c r="O524" i="7" l="1"/>
  <c r="N524" i="7"/>
  <c r="P525" i="7" s="1"/>
  <c r="M697" i="7"/>
  <c r="L698" i="7"/>
  <c r="O525" i="7" l="1"/>
  <c r="N525" i="7"/>
  <c r="P526" i="7" s="1"/>
  <c r="L699" i="7"/>
  <c r="M698" i="7"/>
  <c r="O526" i="7" l="1"/>
  <c r="N526" i="7"/>
  <c r="P527" i="7" s="1"/>
  <c r="L700" i="7"/>
  <c r="M699" i="7"/>
  <c r="O527" i="7" l="1"/>
  <c r="N527" i="7"/>
  <c r="P528" i="7" s="1"/>
  <c r="L701" i="7"/>
  <c r="M700" i="7"/>
  <c r="O528" i="7" l="1"/>
  <c r="N528" i="7"/>
  <c r="P529" i="7" s="1"/>
  <c r="M701" i="7"/>
  <c r="L702" i="7"/>
  <c r="O529" i="7" l="1"/>
  <c r="N529" i="7"/>
  <c r="P530" i="7" s="1"/>
  <c r="M702" i="7"/>
  <c r="L703" i="7"/>
  <c r="O530" i="7" l="1"/>
  <c r="N530" i="7"/>
  <c r="P531" i="7" s="1"/>
  <c r="M703" i="7"/>
  <c r="L704" i="7"/>
  <c r="O531" i="7" l="1"/>
  <c r="N531" i="7"/>
  <c r="P532" i="7" s="1"/>
  <c r="M704" i="7"/>
  <c r="L705" i="7"/>
  <c r="O532" i="7" l="1"/>
  <c r="N532" i="7"/>
  <c r="P533" i="7" s="1"/>
  <c r="L706" i="7"/>
  <c r="M705" i="7"/>
  <c r="O533" i="7" l="1"/>
  <c r="N533" i="7"/>
  <c r="P534" i="7" s="1"/>
  <c r="L707" i="7"/>
  <c r="M706" i="7"/>
  <c r="O534" i="7" l="1"/>
  <c r="N534" i="7"/>
  <c r="P535" i="7" s="1"/>
  <c r="L708" i="7"/>
  <c r="M707" i="7"/>
  <c r="O535" i="7" l="1"/>
  <c r="N535" i="7"/>
  <c r="P536" i="7" s="1"/>
  <c r="L709" i="7"/>
  <c r="M708" i="7"/>
  <c r="O536" i="7" l="1"/>
  <c r="N536" i="7"/>
  <c r="P537" i="7" s="1"/>
  <c r="L710" i="7"/>
  <c r="M709" i="7"/>
  <c r="O537" i="7" l="1"/>
  <c r="N537" i="7"/>
  <c r="P538" i="7" s="1"/>
  <c r="M710" i="7"/>
  <c r="L711" i="7"/>
  <c r="O538" i="7" l="1"/>
  <c r="N538" i="7"/>
  <c r="P539" i="7" s="1"/>
  <c r="M711" i="7"/>
  <c r="L712" i="7"/>
  <c r="O539" i="7" l="1"/>
  <c r="N539" i="7"/>
  <c r="P540" i="7" s="1"/>
  <c r="M712" i="7"/>
  <c r="L713" i="7"/>
  <c r="O540" i="7" l="1"/>
  <c r="N540" i="7"/>
  <c r="P541" i="7" s="1"/>
  <c r="L714" i="7"/>
  <c r="M713" i="7"/>
  <c r="O541" i="7" l="1"/>
  <c r="N541" i="7"/>
  <c r="P542" i="7" s="1"/>
  <c r="L715" i="7"/>
  <c r="M714" i="7"/>
  <c r="O542" i="7" l="1"/>
  <c r="N542" i="7"/>
  <c r="P543" i="7" s="1"/>
  <c r="L716" i="7"/>
  <c r="M715" i="7"/>
  <c r="O543" i="7" l="1"/>
  <c r="N543" i="7"/>
  <c r="P544" i="7" s="1"/>
  <c r="L717" i="7"/>
  <c r="M716" i="7"/>
  <c r="O544" i="7" l="1"/>
  <c r="N544" i="7"/>
  <c r="P545" i="7" s="1"/>
  <c r="L718" i="7"/>
  <c r="M717" i="7"/>
  <c r="O545" i="7" l="1"/>
  <c r="N545" i="7"/>
  <c r="P546" i="7" s="1"/>
  <c r="M718" i="7"/>
  <c r="L719" i="7"/>
  <c r="O546" i="7" l="1"/>
  <c r="N546" i="7"/>
  <c r="P547" i="7" s="1"/>
  <c r="M719" i="7"/>
  <c r="L720" i="7"/>
  <c r="O547" i="7" l="1"/>
  <c r="N547" i="7"/>
  <c r="P548" i="7" s="1"/>
  <c r="L721" i="7"/>
  <c r="M720" i="7"/>
  <c r="O548" i="7" l="1"/>
  <c r="N548" i="7"/>
  <c r="P549" i="7" s="1"/>
  <c r="M721" i="7"/>
  <c r="L722" i="7"/>
  <c r="O549" i="7" l="1"/>
  <c r="N549" i="7"/>
  <c r="P550" i="7" s="1"/>
  <c r="M722" i="7"/>
  <c r="L723" i="7"/>
  <c r="O550" i="7" l="1"/>
  <c r="N550" i="7"/>
  <c r="P551" i="7" s="1"/>
  <c r="L724" i="7"/>
  <c r="M723" i="7"/>
  <c r="O551" i="7" l="1"/>
  <c r="N551" i="7"/>
  <c r="P552" i="7" s="1"/>
  <c r="M724" i="7"/>
  <c r="L725" i="7"/>
  <c r="O552" i="7" l="1"/>
  <c r="N552" i="7"/>
  <c r="P553" i="7" s="1"/>
  <c r="L726" i="7"/>
  <c r="M725" i="7"/>
  <c r="O553" i="7" l="1"/>
  <c r="N553" i="7"/>
  <c r="P554" i="7" s="1"/>
  <c r="L727" i="7"/>
  <c r="M726" i="7"/>
  <c r="O554" i="7" l="1"/>
  <c r="N554" i="7"/>
  <c r="P555" i="7" s="1"/>
  <c r="M727" i="7"/>
  <c r="L728" i="7"/>
  <c r="O555" i="7" l="1"/>
  <c r="N555" i="7"/>
  <c r="P556" i="7" s="1"/>
  <c r="L729" i="7"/>
  <c r="M728" i="7"/>
  <c r="O556" i="7" l="1"/>
  <c r="N556" i="7"/>
  <c r="P557" i="7" s="1"/>
  <c r="M729" i="7"/>
  <c r="L730" i="7"/>
  <c r="O557" i="7" l="1"/>
  <c r="N557" i="7"/>
  <c r="P558" i="7" s="1"/>
  <c r="L731" i="7"/>
  <c r="M730" i="7"/>
  <c r="O558" i="7" l="1"/>
  <c r="N558" i="7"/>
  <c r="P559" i="7" s="1"/>
  <c r="L732" i="7"/>
  <c r="M731" i="7"/>
  <c r="O559" i="7" l="1"/>
  <c r="N559" i="7"/>
  <c r="P560" i="7" s="1"/>
  <c r="M732" i="7"/>
  <c r="L733" i="7"/>
  <c r="O560" i="7" l="1"/>
  <c r="N560" i="7"/>
  <c r="P561" i="7" s="1"/>
  <c r="L734" i="7"/>
  <c r="M733" i="7"/>
  <c r="O561" i="7" l="1"/>
  <c r="N561" i="7"/>
  <c r="P562" i="7" s="1"/>
  <c r="L735" i="7"/>
  <c r="M734" i="7"/>
  <c r="O562" i="7" l="1"/>
  <c r="N562" i="7"/>
  <c r="P563" i="7" s="1"/>
  <c r="M735" i="7"/>
  <c r="L736" i="7"/>
  <c r="O563" i="7" l="1"/>
  <c r="N563" i="7"/>
  <c r="P564" i="7" s="1"/>
  <c r="L737" i="7"/>
  <c r="M736" i="7"/>
  <c r="O564" i="7" l="1"/>
  <c r="N564" i="7"/>
  <c r="P565" i="7" s="1"/>
  <c r="M737" i="7"/>
  <c r="L738" i="7"/>
  <c r="O565" i="7" l="1"/>
  <c r="N565" i="7"/>
  <c r="P566" i="7" s="1"/>
  <c r="L739" i="7"/>
  <c r="M738" i="7"/>
  <c r="O566" i="7" l="1"/>
  <c r="N566" i="7"/>
  <c r="P567" i="7" s="1"/>
  <c r="L740" i="7"/>
  <c r="M739" i="7"/>
  <c r="O567" i="7" l="1"/>
  <c r="N567" i="7"/>
  <c r="P568" i="7" s="1"/>
  <c r="M740" i="7"/>
  <c r="L741" i="7"/>
  <c r="O568" i="7" l="1"/>
  <c r="N568" i="7"/>
  <c r="P569" i="7" s="1"/>
  <c r="L742" i="7"/>
  <c r="M741" i="7"/>
  <c r="O569" i="7" l="1"/>
  <c r="N569" i="7"/>
  <c r="P570" i="7" s="1"/>
  <c r="M742" i="7"/>
  <c r="L743" i="7"/>
  <c r="O570" i="7" l="1"/>
  <c r="N570" i="7"/>
  <c r="P571" i="7" s="1"/>
  <c r="M743" i="7"/>
  <c r="L744" i="7"/>
  <c r="O571" i="7" l="1"/>
  <c r="N571" i="7"/>
  <c r="P572" i="7" s="1"/>
  <c r="L745" i="7"/>
  <c r="M744" i="7"/>
  <c r="O572" i="7" l="1"/>
  <c r="N572" i="7"/>
  <c r="P573" i="7" s="1"/>
  <c r="M745" i="7"/>
  <c r="L746" i="7"/>
  <c r="O573" i="7" l="1"/>
  <c r="N573" i="7"/>
  <c r="P574" i="7" s="1"/>
  <c r="M746" i="7"/>
  <c r="L747" i="7"/>
  <c r="O574" i="7" l="1"/>
  <c r="N574" i="7"/>
  <c r="P575" i="7" s="1"/>
  <c r="L748" i="7"/>
  <c r="M747" i="7"/>
  <c r="O575" i="7" l="1"/>
  <c r="N575" i="7"/>
  <c r="P576" i="7" s="1"/>
  <c r="M748" i="7"/>
  <c r="L749" i="7"/>
  <c r="O576" i="7" l="1"/>
  <c r="N576" i="7"/>
  <c r="P577" i="7" s="1"/>
  <c r="L750" i="7"/>
  <c r="M749" i="7"/>
  <c r="O577" i="7" l="1"/>
  <c r="N577" i="7"/>
  <c r="P578" i="7" s="1"/>
  <c r="M750" i="7"/>
  <c r="L751" i="7"/>
  <c r="O578" i="7" l="1"/>
  <c r="N578" i="7"/>
  <c r="P579" i="7" s="1"/>
  <c r="M751" i="7"/>
  <c r="L752" i="7"/>
  <c r="O579" i="7" l="1"/>
  <c r="N579" i="7"/>
  <c r="P580" i="7" s="1"/>
  <c r="L753" i="7"/>
  <c r="M752" i="7"/>
  <c r="O580" i="7" l="1"/>
  <c r="N580" i="7"/>
  <c r="P581" i="7" s="1"/>
  <c r="M753" i="7"/>
  <c r="L754" i="7"/>
  <c r="O581" i="7" l="1"/>
  <c r="N581" i="7"/>
  <c r="P582" i="7" s="1"/>
  <c r="L755" i="7"/>
  <c r="M754" i="7"/>
  <c r="O582" i="7" l="1"/>
  <c r="N582" i="7"/>
  <c r="P583" i="7" s="1"/>
  <c r="L756" i="7"/>
  <c r="M755" i="7"/>
  <c r="O583" i="7" l="1"/>
  <c r="N583" i="7"/>
  <c r="P584" i="7" s="1"/>
  <c r="M756" i="7"/>
  <c r="L757" i="7"/>
  <c r="O584" i="7" l="1"/>
  <c r="N584" i="7"/>
  <c r="P585" i="7" s="1"/>
  <c r="L758" i="7"/>
  <c r="M757" i="7"/>
  <c r="O585" i="7" l="1"/>
  <c r="N585" i="7"/>
  <c r="P586" i="7" s="1"/>
  <c r="L759" i="7"/>
  <c r="M758" i="7"/>
  <c r="O586" i="7" l="1"/>
  <c r="N586" i="7"/>
  <c r="P587" i="7" s="1"/>
  <c r="M759" i="7"/>
  <c r="L760" i="7"/>
  <c r="O587" i="7" l="1"/>
  <c r="N587" i="7"/>
  <c r="P588" i="7" s="1"/>
  <c r="L761" i="7"/>
  <c r="M760" i="7"/>
  <c r="O588" i="7" l="1"/>
  <c r="N588" i="7"/>
  <c r="P589" i="7" s="1"/>
  <c r="M761" i="7"/>
  <c r="L762" i="7"/>
  <c r="O589" i="7" l="1"/>
  <c r="N589" i="7"/>
  <c r="P590" i="7" s="1"/>
  <c r="L763" i="7"/>
  <c r="M762" i="7"/>
  <c r="O590" i="7" l="1"/>
  <c r="N590" i="7"/>
  <c r="P591" i="7" s="1"/>
  <c r="L764" i="7"/>
  <c r="M763" i="7"/>
  <c r="O591" i="7" l="1"/>
  <c r="N591" i="7"/>
  <c r="P592" i="7" s="1"/>
  <c r="M764" i="7"/>
  <c r="L765" i="7"/>
  <c r="O592" i="7" l="1"/>
  <c r="N592" i="7"/>
  <c r="P593" i="7" s="1"/>
  <c r="L766" i="7"/>
  <c r="M765" i="7"/>
  <c r="O593" i="7" l="1"/>
  <c r="N593" i="7"/>
  <c r="P594" i="7" s="1"/>
  <c r="L767" i="7"/>
  <c r="M766" i="7"/>
  <c r="O594" i="7" l="1"/>
  <c r="N594" i="7"/>
  <c r="P595" i="7" s="1"/>
  <c r="M767" i="7"/>
  <c r="L768" i="7"/>
  <c r="O595" i="7" l="1"/>
  <c r="N595" i="7"/>
  <c r="P596" i="7" s="1"/>
  <c r="L769" i="7"/>
  <c r="M768" i="7"/>
  <c r="O596" i="7" l="1"/>
  <c r="N596" i="7"/>
  <c r="P597" i="7" s="1"/>
  <c r="M769" i="7"/>
  <c r="L770" i="7"/>
  <c r="O597" i="7" l="1"/>
  <c r="N597" i="7"/>
  <c r="P598" i="7" s="1"/>
  <c r="L771" i="7"/>
  <c r="M770" i="7"/>
  <c r="O598" i="7" l="1"/>
  <c r="N598" i="7"/>
  <c r="P599" i="7" s="1"/>
  <c r="L772" i="7"/>
  <c r="M771" i="7"/>
  <c r="O599" i="7" l="1"/>
  <c r="N599" i="7"/>
  <c r="P600" i="7" s="1"/>
  <c r="M772" i="7"/>
  <c r="L773" i="7"/>
  <c r="O600" i="7" l="1"/>
  <c r="N600" i="7"/>
  <c r="P601" i="7" s="1"/>
  <c r="L774" i="7"/>
  <c r="M773" i="7"/>
  <c r="O601" i="7" l="1"/>
  <c r="N601" i="7"/>
  <c r="P602" i="7" s="1"/>
  <c r="L775" i="7"/>
  <c r="M774" i="7"/>
  <c r="O602" i="7" l="1"/>
  <c r="N602" i="7"/>
  <c r="P603" i="7" s="1"/>
  <c r="M775" i="7"/>
  <c r="L776" i="7"/>
  <c r="O603" i="7" l="1"/>
  <c r="N603" i="7"/>
  <c r="P604" i="7" s="1"/>
  <c r="L777" i="7"/>
  <c r="M776" i="7"/>
  <c r="O604" i="7" l="1"/>
  <c r="N604" i="7"/>
  <c r="P605" i="7" s="1"/>
  <c r="M777" i="7"/>
  <c r="L778" i="7"/>
  <c r="O605" i="7" l="1"/>
  <c r="N605" i="7"/>
  <c r="P606" i="7" s="1"/>
  <c r="M778" i="7"/>
  <c r="L779" i="7"/>
  <c r="O606" i="7" l="1"/>
  <c r="N606" i="7"/>
  <c r="P607" i="7" s="1"/>
  <c r="L780" i="7"/>
  <c r="M779" i="7"/>
  <c r="O607" i="7" l="1"/>
  <c r="N607" i="7"/>
  <c r="P608" i="7" s="1"/>
  <c r="M780" i="7"/>
  <c r="L781" i="7"/>
  <c r="O608" i="7" l="1"/>
  <c r="N608" i="7"/>
  <c r="P609" i="7" s="1"/>
  <c r="L782" i="7"/>
  <c r="M781" i="7"/>
  <c r="O609" i="7" l="1"/>
  <c r="N609" i="7"/>
  <c r="P610" i="7" s="1"/>
  <c r="M782" i="7"/>
  <c r="L783" i="7"/>
  <c r="O610" i="7" l="1"/>
  <c r="N610" i="7"/>
  <c r="P611" i="7" s="1"/>
  <c r="M783" i="7"/>
  <c r="L784" i="7"/>
  <c r="O611" i="7" l="1"/>
  <c r="N611" i="7"/>
  <c r="P612" i="7" s="1"/>
  <c r="L785" i="7"/>
  <c r="M784" i="7"/>
  <c r="O612" i="7" l="1"/>
  <c r="N612" i="7"/>
  <c r="P613" i="7" s="1"/>
  <c r="M785" i="7"/>
  <c r="L786" i="7"/>
  <c r="O613" i="7" l="1"/>
  <c r="N613" i="7"/>
  <c r="P614" i="7" s="1"/>
  <c r="M786" i="7"/>
  <c r="L787" i="7"/>
  <c r="O614" i="7" l="1"/>
  <c r="N614" i="7"/>
  <c r="P615" i="7" s="1"/>
  <c r="L788" i="7"/>
  <c r="M787" i="7"/>
  <c r="O615" i="7" l="1"/>
  <c r="N615" i="7"/>
  <c r="P616" i="7" s="1"/>
  <c r="M788" i="7"/>
  <c r="L789" i="7"/>
  <c r="O616" i="7" l="1"/>
  <c r="N616" i="7"/>
  <c r="P617" i="7" s="1"/>
  <c r="L790" i="7"/>
  <c r="M789" i="7"/>
  <c r="O617" i="7" l="1"/>
  <c r="N617" i="7"/>
  <c r="P618" i="7" s="1"/>
  <c r="L791" i="7"/>
  <c r="M790" i="7"/>
  <c r="O618" i="7" l="1"/>
  <c r="N618" i="7"/>
  <c r="P619" i="7" s="1"/>
  <c r="M791" i="7"/>
  <c r="L792" i="7"/>
  <c r="O619" i="7" l="1"/>
  <c r="N619" i="7"/>
  <c r="P620" i="7" s="1"/>
  <c r="L793" i="7"/>
  <c r="M792" i="7"/>
  <c r="O620" i="7" l="1"/>
  <c r="N620" i="7"/>
  <c r="P621" i="7" s="1"/>
  <c r="M793" i="7"/>
  <c r="L794" i="7"/>
  <c r="O621" i="7" l="1"/>
  <c r="N621" i="7"/>
  <c r="P622" i="7" s="1"/>
  <c r="L795" i="7"/>
  <c r="M794" i="7"/>
  <c r="O622" i="7" l="1"/>
  <c r="N622" i="7"/>
  <c r="P623" i="7" s="1"/>
  <c r="L796" i="7"/>
  <c r="M795" i="7"/>
  <c r="O623" i="7" l="1"/>
  <c r="N623" i="7"/>
  <c r="P624" i="7" s="1"/>
  <c r="M796" i="7"/>
  <c r="L797" i="7"/>
  <c r="O624" i="7" l="1"/>
  <c r="N624" i="7"/>
  <c r="P625" i="7" s="1"/>
  <c r="L798" i="7"/>
  <c r="M797" i="7"/>
  <c r="O625" i="7" l="1"/>
  <c r="N625" i="7"/>
  <c r="P626" i="7" s="1"/>
  <c r="L799" i="7"/>
  <c r="M798" i="7"/>
  <c r="O626" i="7" l="1"/>
  <c r="N626" i="7"/>
  <c r="P627" i="7" s="1"/>
  <c r="M799" i="7"/>
  <c r="L800" i="7"/>
  <c r="O627" i="7" l="1"/>
  <c r="N627" i="7"/>
  <c r="P628" i="7" s="1"/>
  <c r="L801" i="7"/>
  <c r="M800" i="7"/>
  <c r="O628" i="7" l="1"/>
  <c r="N628" i="7"/>
  <c r="P629" i="7" s="1"/>
  <c r="M801" i="7"/>
  <c r="L802" i="7"/>
  <c r="O629" i="7" l="1"/>
  <c r="N629" i="7"/>
  <c r="P630" i="7" s="1"/>
  <c r="L803" i="7"/>
  <c r="M802" i="7"/>
  <c r="O630" i="7" l="1"/>
  <c r="N630" i="7"/>
  <c r="P631" i="7" s="1"/>
  <c r="L804" i="7"/>
  <c r="M803" i="7"/>
  <c r="O631" i="7" l="1"/>
  <c r="N631" i="7"/>
  <c r="P632" i="7" s="1"/>
  <c r="M804" i="7"/>
  <c r="L805" i="7"/>
  <c r="O632" i="7" l="1"/>
  <c r="N632" i="7"/>
  <c r="P633" i="7" s="1"/>
  <c r="L806" i="7"/>
  <c r="M805" i="7"/>
  <c r="O633" i="7" l="1"/>
  <c r="N633" i="7"/>
  <c r="P634" i="7" s="1"/>
  <c r="M806" i="7"/>
  <c r="L807" i="7"/>
  <c r="O634" i="7" l="1"/>
  <c r="N634" i="7"/>
  <c r="P635" i="7" s="1"/>
  <c r="M807" i="7"/>
  <c r="L808" i="7"/>
  <c r="O635" i="7" l="1"/>
  <c r="N635" i="7"/>
  <c r="P636" i="7" s="1"/>
  <c r="L809" i="7"/>
  <c r="M808" i="7"/>
  <c r="O636" i="7" l="1"/>
  <c r="N636" i="7"/>
  <c r="P637" i="7" s="1"/>
  <c r="M809" i="7"/>
  <c r="L810" i="7"/>
  <c r="O637" i="7" l="1"/>
  <c r="N637" i="7"/>
  <c r="P638" i="7" s="1"/>
  <c r="M810" i="7"/>
  <c r="L811" i="7"/>
  <c r="O638" i="7" l="1"/>
  <c r="N638" i="7"/>
  <c r="P639" i="7" s="1"/>
  <c r="L812" i="7"/>
  <c r="M811" i="7"/>
  <c r="O639" i="7" l="1"/>
  <c r="N639" i="7"/>
  <c r="P640" i="7" s="1"/>
  <c r="M812" i="7"/>
  <c r="L813" i="7"/>
  <c r="O640" i="7" l="1"/>
  <c r="N640" i="7"/>
  <c r="P641" i="7" s="1"/>
  <c r="L814" i="7"/>
  <c r="M813" i="7"/>
  <c r="O641" i="7" l="1"/>
  <c r="N641" i="7"/>
  <c r="P642" i="7" s="1"/>
  <c r="M814" i="7"/>
  <c r="L815" i="7"/>
  <c r="O642" i="7" l="1"/>
  <c r="N642" i="7"/>
  <c r="P643" i="7" s="1"/>
  <c r="M815" i="7"/>
  <c r="L816" i="7"/>
  <c r="O643" i="7" l="1"/>
  <c r="N643" i="7"/>
  <c r="P644" i="7" s="1"/>
  <c r="L817" i="7"/>
  <c r="M816" i="7"/>
  <c r="O644" i="7" l="1"/>
  <c r="N644" i="7"/>
  <c r="P645" i="7" s="1"/>
  <c r="M817" i="7"/>
  <c r="L818" i="7"/>
  <c r="O645" i="7" l="1"/>
  <c r="N645" i="7"/>
  <c r="P646" i="7" s="1"/>
  <c r="L819" i="7"/>
  <c r="M818" i="7"/>
  <c r="O646" i="7" l="1"/>
  <c r="N646" i="7"/>
  <c r="P647" i="7" s="1"/>
  <c r="L820" i="7"/>
  <c r="M819" i="7"/>
  <c r="O647" i="7" l="1"/>
  <c r="N647" i="7"/>
  <c r="P648" i="7" s="1"/>
  <c r="M820" i="7"/>
  <c r="L821" i="7"/>
  <c r="O648" i="7" l="1"/>
  <c r="N648" i="7"/>
  <c r="P649" i="7" s="1"/>
  <c r="L822" i="7"/>
  <c r="M821" i="7"/>
  <c r="O649" i="7" l="1"/>
  <c r="N649" i="7"/>
  <c r="P650" i="7" s="1"/>
  <c r="L823" i="7"/>
  <c r="M822" i="7"/>
  <c r="O650" i="7" l="1"/>
  <c r="N650" i="7"/>
  <c r="P651" i="7" s="1"/>
  <c r="M823" i="7"/>
  <c r="L824" i="7"/>
  <c r="O651" i="7" l="1"/>
  <c r="N651" i="7"/>
  <c r="P652" i="7" s="1"/>
  <c r="L825" i="7"/>
  <c r="M824" i="7"/>
  <c r="O652" i="7" l="1"/>
  <c r="N652" i="7"/>
  <c r="P653" i="7" s="1"/>
  <c r="M825" i="7"/>
  <c r="L826" i="7"/>
  <c r="O653" i="7" l="1"/>
  <c r="N653" i="7"/>
  <c r="P654" i="7" s="1"/>
  <c r="L827" i="7"/>
  <c r="M826" i="7"/>
  <c r="O654" i="7" l="1"/>
  <c r="N654" i="7"/>
  <c r="P655" i="7" s="1"/>
  <c r="L828" i="7"/>
  <c r="M827" i="7"/>
  <c r="O655" i="7" l="1"/>
  <c r="N655" i="7"/>
  <c r="P656" i="7" s="1"/>
  <c r="M828" i="7"/>
  <c r="L829" i="7"/>
  <c r="O656" i="7" l="1"/>
  <c r="N656" i="7"/>
  <c r="P657" i="7" s="1"/>
  <c r="L830" i="7"/>
  <c r="M829" i="7"/>
  <c r="O657" i="7" l="1"/>
  <c r="N657" i="7"/>
  <c r="P658" i="7" s="1"/>
  <c r="L831" i="7"/>
  <c r="M830" i="7"/>
  <c r="O658" i="7" l="1"/>
  <c r="N658" i="7"/>
  <c r="P659" i="7" s="1"/>
  <c r="M831" i="7"/>
  <c r="L832" i="7"/>
  <c r="O659" i="7" l="1"/>
  <c r="N659" i="7"/>
  <c r="P660" i="7" s="1"/>
  <c r="L833" i="7"/>
  <c r="M832" i="7"/>
  <c r="O660" i="7" l="1"/>
  <c r="N660" i="7"/>
  <c r="P661" i="7" s="1"/>
  <c r="M833" i="7"/>
  <c r="L834" i="7"/>
  <c r="O661" i="7" l="1"/>
  <c r="N661" i="7"/>
  <c r="P662" i="7" s="1"/>
  <c r="L835" i="7"/>
  <c r="M834" i="7"/>
  <c r="O662" i="7" l="1"/>
  <c r="N662" i="7"/>
  <c r="P663" i="7" s="1"/>
  <c r="L836" i="7"/>
  <c r="M835" i="7"/>
  <c r="O663" i="7" l="1"/>
  <c r="N663" i="7"/>
  <c r="P664" i="7" s="1"/>
  <c r="M836" i="7"/>
  <c r="L837" i="7"/>
  <c r="O664" i="7" l="1"/>
  <c r="N664" i="7"/>
  <c r="P665" i="7" s="1"/>
  <c r="L838" i="7"/>
  <c r="M837" i="7"/>
  <c r="O665" i="7" l="1"/>
  <c r="N665" i="7"/>
  <c r="P666" i="7" s="1"/>
  <c r="L839" i="7"/>
  <c r="M838" i="7"/>
  <c r="O666" i="7" l="1"/>
  <c r="N666" i="7"/>
  <c r="P667" i="7" s="1"/>
  <c r="M839" i="7"/>
  <c r="L840" i="7"/>
  <c r="O667" i="7" l="1"/>
  <c r="N667" i="7"/>
  <c r="P668" i="7" s="1"/>
  <c r="L841" i="7"/>
  <c r="M840" i="7"/>
  <c r="O668" i="7" l="1"/>
  <c r="N668" i="7"/>
  <c r="P669" i="7" s="1"/>
  <c r="M841" i="7"/>
  <c r="L842" i="7"/>
  <c r="O669" i="7" l="1"/>
  <c r="N669" i="7"/>
  <c r="P670" i="7" s="1"/>
  <c r="M842" i="7"/>
  <c r="L843" i="7"/>
  <c r="O670" i="7" l="1"/>
  <c r="N670" i="7"/>
  <c r="P671" i="7" s="1"/>
  <c r="L844" i="7"/>
  <c r="M843" i="7"/>
  <c r="O671" i="7" l="1"/>
  <c r="N671" i="7"/>
  <c r="P672" i="7" s="1"/>
  <c r="M844" i="7"/>
  <c r="L845" i="7"/>
  <c r="O672" i="7" l="1"/>
  <c r="N672" i="7"/>
  <c r="P673" i="7" s="1"/>
  <c r="L846" i="7"/>
  <c r="M845" i="7"/>
  <c r="O673" i="7" l="1"/>
  <c r="N673" i="7"/>
  <c r="P674" i="7" s="1"/>
  <c r="M846" i="7"/>
  <c r="L847" i="7"/>
  <c r="O674" i="7" l="1"/>
  <c r="N674" i="7"/>
  <c r="P675" i="7" s="1"/>
  <c r="M847" i="7"/>
  <c r="L848" i="7"/>
  <c r="O675" i="7" l="1"/>
  <c r="N675" i="7"/>
  <c r="P676" i="7" s="1"/>
  <c r="L849" i="7"/>
  <c r="M848" i="7"/>
  <c r="O676" i="7" l="1"/>
  <c r="N676" i="7"/>
  <c r="P677" i="7" s="1"/>
  <c r="M849" i="7"/>
  <c r="L850" i="7"/>
  <c r="O677" i="7" l="1"/>
  <c r="N677" i="7"/>
  <c r="P678" i="7" s="1"/>
  <c r="M850" i="7"/>
  <c r="L851" i="7"/>
  <c r="O678" i="7" l="1"/>
  <c r="N678" i="7"/>
  <c r="P679" i="7" s="1"/>
  <c r="L852" i="7"/>
  <c r="M851" i="7"/>
  <c r="O679" i="7" l="1"/>
  <c r="N679" i="7"/>
  <c r="P680" i="7" s="1"/>
  <c r="M852" i="7"/>
  <c r="L853" i="7"/>
  <c r="O680" i="7" l="1"/>
  <c r="N680" i="7"/>
  <c r="P681" i="7" s="1"/>
  <c r="L854" i="7"/>
  <c r="M853" i="7"/>
  <c r="O681" i="7" l="1"/>
  <c r="N681" i="7"/>
  <c r="P682" i="7" s="1"/>
  <c r="L855" i="7"/>
  <c r="M854" i="7"/>
  <c r="O682" i="7" l="1"/>
  <c r="N682" i="7"/>
  <c r="P683" i="7" s="1"/>
  <c r="M855" i="7"/>
  <c r="L856" i="7"/>
  <c r="O683" i="7" l="1"/>
  <c r="N683" i="7"/>
  <c r="P684" i="7" s="1"/>
  <c r="L857" i="7"/>
  <c r="M856" i="7"/>
  <c r="O684" i="7" l="1"/>
  <c r="N684" i="7"/>
  <c r="P685" i="7" s="1"/>
  <c r="M857" i="7"/>
  <c r="L858" i="7"/>
  <c r="O685" i="7" l="1"/>
  <c r="N685" i="7"/>
  <c r="P686" i="7" s="1"/>
  <c r="L859" i="7"/>
  <c r="M858" i="7"/>
  <c r="O686" i="7" l="1"/>
  <c r="N686" i="7"/>
  <c r="P687" i="7" s="1"/>
  <c r="L860" i="7"/>
  <c r="M859" i="7"/>
  <c r="O687" i="7" l="1"/>
  <c r="N687" i="7"/>
  <c r="P688" i="7" s="1"/>
  <c r="M860" i="7"/>
  <c r="L861" i="7"/>
  <c r="O688" i="7" l="1"/>
  <c r="N688" i="7"/>
  <c r="P689" i="7" s="1"/>
  <c r="L862" i="7"/>
  <c r="M861" i="7"/>
  <c r="O689" i="7" l="1"/>
  <c r="N689" i="7"/>
  <c r="P690" i="7" s="1"/>
  <c r="L863" i="7"/>
  <c r="M862" i="7"/>
  <c r="O690" i="7" l="1"/>
  <c r="N690" i="7"/>
  <c r="P691" i="7" s="1"/>
  <c r="M863" i="7"/>
  <c r="L864" i="7"/>
  <c r="O691" i="7" l="1"/>
  <c r="N691" i="7"/>
  <c r="P692" i="7" s="1"/>
  <c r="L865" i="7"/>
  <c r="M864" i="7"/>
  <c r="O692" i="7" l="1"/>
  <c r="N692" i="7"/>
  <c r="P693" i="7" s="1"/>
  <c r="M865" i="7"/>
  <c r="L866" i="7"/>
  <c r="O693" i="7" l="1"/>
  <c r="N693" i="7"/>
  <c r="P694" i="7" s="1"/>
  <c r="M866" i="7"/>
  <c r="L867" i="7"/>
  <c r="O694" i="7" l="1"/>
  <c r="N694" i="7"/>
  <c r="P695" i="7" s="1"/>
  <c r="L868" i="7"/>
  <c r="M867" i="7"/>
  <c r="O695" i="7" l="1"/>
  <c r="N695" i="7"/>
  <c r="P696" i="7" s="1"/>
  <c r="M868" i="7"/>
  <c r="L869" i="7"/>
  <c r="O696" i="7" l="1"/>
  <c r="N696" i="7"/>
  <c r="P697" i="7" s="1"/>
  <c r="L870" i="7"/>
  <c r="M869" i="7"/>
  <c r="O697" i="7" l="1"/>
  <c r="N697" i="7"/>
  <c r="P698" i="7" s="1"/>
  <c r="M870" i="7"/>
  <c r="L871" i="7"/>
  <c r="O698" i="7" l="1"/>
  <c r="N698" i="7"/>
  <c r="P699" i="7" s="1"/>
  <c r="M871" i="7"/>
  <c r="L872" i="7"/>
  <c r="O699" i="7" l="1"/>
  <c r="N699" i="7"/>
  <c r="P700" i="7" s="1"/>
  <c r="L873" i="7"/>
  <c r="M872" i="7"/>
  <c r="O700" i="7" l="1"/>
  <c r="N700" i="7"/>
  <c r="P701" i="7" s="1"/>
  <c r="M873" i="7"/>
  <c r="L874" i="7"/>
  <c r="O701" i="7" l="1"/>
  <c r="N701" i="7"/>
  <c r="P702" i="7" s="1"/>
  <c r="M874" i="7"/>
  <c r="L875" i="7"/>
  <c r="O702" i="7" l="1"/>
  <c r="N702" i="7"/>
  <c r="P703" i="7" s="1"/>
  <c r="L876" i="7"/>
  <c r="M875" i="7"/>
  <c r="O703" i="7" l="1"/>
  <c r="N703" i="7"/>
  <c r="P704" i="7" s="1"/>
  <c r="M876" i="7"/>
  <c r="L877" i="7"/>
  <c r="O704" i="7" l="1"/>
  <c r="N704" i="7"/>
  <c r="P705" i="7" s="1"/>
  <c r="L878" i="7"/>
  <c r="M877" i="7"/>
  <c r="O705" i="7" l="1"/>
  <c r="N705" i="7"/>
  <c r="P706" i="7" s="1"/>
  <c r="M878" i="7"/>
  <c r="L879" i="7"/>
  <c r="O706" i="7" l="1"/>
  <c r="N706" i="7"/>
  <c r="P707" i="7" s="1"/>
  <c r="M879" i="7"/>
  <c r="L880" i="7"/>
  <c r="O707" i="7" l="1"/>
  <c r="N707" i="7"/>
  <c r="P708" i="7" s="1"/>
  <c r="L881" i="7"/>
  <c r="M880" i="7"/>
  <c r="O708" i="7" l="1"/>
  <c r="N708" i="7"/>
  <c r="P709" i="7" s="1"/>
  <c r="M881" i="7"/>
  <c r="L882" i="7"/>
  <c r="O709" i="7" l="1"/>
  <c r="N709" i="7"/>
  <c r="P710" i="7" s="1"/>
  <c r="L883" i="7"/>
  <c r="M882" i="7"/>
  <c r="O710" i="7" l="1"/>
  <c r="N710" i="7"/>
  <c r="P711" i="7" s="1"/>
  <c r="L884" i="7"/>
  <c r="M883" i="7"/>
  <c r="O711" i="7" l="1"/>
  <c r="N711" i="7"/>
  <c r="P712" i="7" s="1"/>
  <c r="M884" i="7"/>
  <c r="L885" i="7"/>
  <c r="O712" i="7" l="1"/>
  <c r="N712" i="7"/>
  <c r="P713" i="7" s="1"/>
  <c r="L886" i="7"/>
  <c r="M885" i="7"/>
  <c r="O713" i="7" l="1"/>
  <c r="N713" i="7"/>
  <c r="P714" i="7" s="1"/>
  <c r="L887" i="7"/>
  <c r="M886" i="7"/>
  <c r="O714" i="7" l="1"/>
  <c r="N714" i="7"/>
  <c r="P715" i="7" s="1"/>
  <c r="M887" i="7"/>
  <c r="L888" i="7"/>
  <c r="O715" i="7" l="1"/>
  <c r="N715" i="7"/>
  <c r="P716" i="7" s="1"/>
  <c r="L889" i="7"/>
  <c r="M888" i="7"/>
  <c r="O716" i="7" l="1"/>
  <c r="N716" i="7"/>
  <c r="P717" i="7" s="1"/>
  <c r="M889" i="7"/>
  <c r="L890" i="7"/>
  <c r="O717" i="7" l="1"/>
  <c r="N717" i="7"/>
  <c r="P718" i="7" s="1"/>
  <c r="L891" i="7"/>
  <c r="M890" i="7"/>
  <c r="O718" i="7" l="1"/>
  <c r="N718" i="7"/>
  <c r="P719" i="7" s="1"/>
  <c r="L892" i="7"/>
  <c r="M891" i="7"/>
  <c r="O719" i="7" l="1"/>
  <c r="N719" i="7"/>
  <c r="P720" i="7" s="1"/>
  <c r="M892" i="7"/>
  <c r="L893" i="7"/>
  <c r="O720" i="7" l="1"/>
  <c r="N720" i="7"/>
  <c r="P721" i="7" s="1"/>
  <c r="L894" i="7"/>
  <c r="M893" i="7"/>
  <c r="O721" i="7" l="1"/>
  <c r="N721" i="7"/>
  <c r="P722" i="7" s="1"/>
  <c r="L895" i="7"/>
  <c r="M894" i="7"/>
  <c r="O722" i="7" l="1"/>
  <c r="N722" i="7"/>
  <c r="P723" i="7" s="1"/>
  <c r="M895" i="7"/>
  <c r="L896" i="7"/>
  <c r="O723" i="7" l="1"/>
  <c r="N723" i="7"/>
  <c r="P724" i="7" s="1"/>
  <c r="L897" i="7"/>
  <c r="M896" i="7"/>
  <c r="O724" i="7" l="1"/>
  <c r="N724" i="7"/>
  <c r="P725" i="7" s="1"/>
  <c r="M897" i="7"/>
  <c r="L898" i="7"/>
  <c r="O725" i="7" l="1"/>
  <c r="N725" i="7"/>
  <c r="P726" i="7" s="1"/>
  <c r="L899" i="7"/>
  <c r="M898" i="7"/>
  <c r="O726" i="7" l="1"/>
  <c r="N726" i="7"/>
  <c r="P727" i="7" s="1"/>
  <c r="L900" i="7"/>
  <c r="M899" i="7"/>
  <c r="O727" i="7" l="1"/>
  <c r="N727" i="7"/>
  <c r="P728" i="7" s="1"/>
  <c r="M900" i="7"/>
  <c r="L901" i="7"/>
  <c r="O728" i="7" l="1"/>
  <c r="N728" i="7"/>
  <c r="P729" i="7" s="1"/>
  <c r="L902" i="7"/>
  <c r="M901" i="7"/>
  <c r="O729" i="7" l="1"/>
  <c r="N729" i="7"/>
  <c r="P730" i="7" s="1"/>
  <c r="L903" i="7"/>
  <c r="M902" i="7"/>
  <c r="O730" i="7" l="1"/>
  <c r="N730" i="7"/>
  <c r="P731" i="7" s="1"/>
  <c r="M903" i="7"/>
  <c r="L904" i="7"/>
  <c r="O731" i="7" l="1"/>
  <c r="N731" i="7"/>
  <c r="P732" i="7" s="1"/>
  <c r="L905" i="7"/>
  <c r="M904" i="7"/>
  <c r="O732" i="7" l="1"/>
  <c r="N732" i="7"/>
  <c r="P733" i="7" s="1"/>
  <c r="M905" i="7"/>
  <c r="L906" i="7"/>
  <c r="O733" i="7" l="1"/>
  <c r="N733" i="7"/>
  <c r="P734" i="7" s="1"/>
  <c r="M906" i="7"/>
  <c r="L907" i="7"/>
  <c r="O734" i="7" l="1"/>
  <c r="N734" i="7"/>
  <c r="P735" i="7" s="1"/>
  <c r="L908" i="7"/>
  <c r="M907" i="7"/>
  <c r="O735" i="7" l="1"/>
  <c r="N735" i="7"/>
  <c r="P736" i="7" s="1"/>
  <c r="M908" i="7"/>
  <c r="L909" i="7"/>
  <c r="O736" i="7" l="1"/>
  <c r="N736" i="7"/>
  <c r="P737" i="7" s="1"/>
  <c r="L910" i="7"/>
  <c r="M909" i="7"/>
  <c r="O737" i="7" l="1"/>
  <c r="N737" i="7"/>
  <c r="P738" i="7" s="1"/>
  <c r="M910" i="7"/>
  <c r="L911" i="7"/>
  <c r="O738" i="7" l="1"/>
  <c r="N738" i="7"/>
  <c r="P739" i="7" s="1"/>
  <c r="M911" i="7"/>
  <c r="L912" i="7"/>
  <c r="O739" i="7" l="1"/>
  <c r="N739" i="7"/>
  <c r="P740" i="7" s="1"/>
  <c r="L913" i="7"/>
  <c r="M912" i="7"/>
  <c r="O740" i="7" l="1"/>
  <c r="N740" i="7"/>
  <c r="P741" i="7" s="1"/>
  <c r="M913" i="7"/>
  <c r="L914" i="7"/>
  <c r="O741" i="7" l="1"/>
  <c r="N741" i="7"/>
  <c r="P742" i="7" s="1"/>
  <c r="M914" i="7"/>
  <c r="L915" i="7"/>
  <c r="O742" i="7" l="1"/>
  <c r="N742" i="7"/>
  <c r="P743" i="7" s="1"/>
  <c r="L916" i="7"/>
  <c r="M915" i="7"/>
  <c r="O743" i="7" l="1"/>
  <c r="N743" i="7"/>
  <c r="P744" i="7" s="1"/>
  <c r="M916" i="7"/>
  <c r="L917" i="7"/>
  <c r="O744" i="7" l="1"/>
  <c r="N744" i="7"/>
  <c r="P745" i="7" s="1"/>
  <c r="L918" i="7"/>
  <c r="M917" i="7"/>
  <c r="O745" i="7" l="1"/>
  <c r="N745" i="7"/>
  <c r="P746" i="7" s="1"/>
  <c r="L919" i="7"/>
  <c r="M918" i="7"/>
  <c r="O746" i="7" l="1"/>
  <c r="N746" i="7"/>
  <c r="P747" i="7" s="1"/>
  <c r="M919" i="7"/>
  <c r="L920" i="7"/>
  <c r="O747" i="7" l="1"/>
  <c r="N747" i="7"/>
  <c r="P748" i="7" s="1"/>
  <c r="L921" i="7"/>
  <c r="M920" i="7"/>
  <c r="O748" i="7" l="1"/>
  <c r="N748" i="7"/>
  <c r="P749" i="7" s="1"/>
  <c r="M921" i="7"/>
  <c r="L922" i="7"/>
  <c r="O749" i="7" l="1"/>
  <c r="N749" i="7"/>
  <c r="P750" i="7" s="1"/>
  <c r="L923" i="7"/>
  <c r="M922" i="7"/>
  <c r="O750" i="7" l="1"/>
  <c r="N750" i="7"/>
  <c r="P751" i="7" s="1"/>
  <c r="L924" i="7"/>
  <c r="M923" i="7"/>
  <c r="O751" i="7" l="1"/>
  <c r="N751" i="7"/>
  <c r="P752" i="7" s="1"/>
  <c r="M924" i="7"/>
  <c r="L925" i="7"/>
  <c r="O752" i="7" l="1"/>
  <c r="N752" i="7"/>
  <c r="P753" i="7" s="1"/>
  <c r="L926" i="7"/>
  <c r="M925" i="7"/>
  <c r="O753" i="7" l="1"/>
  <c r="N753" i="7"/>
  <c r="P754" i="7" s="1"/>
  <c r="L927" i="7"/>
  <c r="M926" i="7"/>
  <c r="O754" i="7" l="1"/>
  <c r="N754" i="7"/>
  <c r="P755" i="7" s="1"/>
  <c r="M927" i="7"/>
  <c r="L928" i="7"/>
  <c r="O755" i="7" l="1"/>
  <c r="N755" i="7"/>
  <c r="P756" i="7" s="1"/>
  <c r="L929" i="7"/>
  <c r="M928" i="7"/>
  <c r="O756" i="7" l="1"/>
  <c r="N756" i="7"/>
  <c r="P757" i="7" s="1"/>
  <c r="M929" i="7"/>
  <c r="L930" i="7"/>
  <c r="O757" i="7" l="1"/>
  <c r="N757" i="7"/>
  <c r="P758" i="7" s="1"/>
  <c r="L931" i="7"/>
  <c r="M930" i="7"/>
  <c r="O758" i="7" l="1"/>
  <c r="N758" i="7"/>
  <c r="P759" i="7" s="1"/>
  <c r="L932" i="7"/>
  <c r="M931" i="7"/>
  <c r="O759" i="7" l="1"/>
  <c r="N759" i="7"/>
  <c r="P760" i="7" s="1"/>
  <c r="M932" i="7"/>
  <c r="L933" i="7"/>
  <c r="O760" i="7" l="1"/>
  <c r="N760" i="7"/>
  <c r="P761" i="7" s="1"/>
  <c r="L934" i="7"/>
  <c r="M933" i="7"/>
  <c r="O761" i="7" l="1"/>
  <c r="N761" i="7"/>
  <c r="P762" i="7" s="1"/>
  <c r="M934" i="7"/>
  <c r="L935" i="7"/>
  <c r="O762" i="7" l="1"/>
  <c r="N762" i="7"/>
  <c r="P763" i="7" s="1"/>
  <c r="M935" i="7"/>
  <c r="L936" i="7"/>
  <c r="O763" i="7" l="1"/>
  <c r="N763" i="7"/>
  <c r="P764" i="7" s="1"/>
  <c r="L937" i="7"/>
  <c r="M936" i="7"/>
  <c r="O764" i="7" l="1"/>
  <c r="N764" i="7"/>
  <c r="P765" i="7" s="1"/>
  <c r="M937" i="7"/>
  <c r="L938" i="7"/>
  <c r="O765" i="7" l="1"/>
  <c r="N765" i="7"/>
  <c r="P766" i="7" s="1"/>
  <c r="M938" i="7"/>
  <c r="L939" i="7"/>
  <c r="O766" i="7" l="1"/>
  <c r="N766" i="7"/>
  <c r="P767" i="7" s="1"/>
  <c r="L940" i="7"/>
  <c r="M939" i="7"/>
  <c r="O767" i="7" l="1"/>
  <c r="N767" i="7"/>
  <c r="P768" i="7" s="1"/>
  <c r="M940" i="7"/>
  <c r="L941" i="7"/>
  <c r="O768" i="7" l="1"/>
  <c r="N768" i="7"/>
  <c r="P769" i="7" s="1"/>
  <c r="L942" i="7"/>
  <c r="M941" i="7"/>
  <c r="O769" i="7" l="1"/>
  <c r="N769" i="7"/>
  <c r="P770" i="7" s="1"/>
  <c r="M942" i="7"/>
  <c r="L943" i="7"/>
  <c r="O770" i="7" l="1"/>
  <c r="N770" i="7"/>
  <c r="P771" i="7" s="1"/>
  <c r="M943" i="7"/>
  <c r="L944" i="7"/>
  <c r="O771" i="7" l="1"/>
  <c r="N771" i="7"/>
  <c r="P772" i="7" s="1"/>
  <c r="L945" i="7"/>
  <c r="M944" i="7"/>
  <c r="O772" i="7" l="1"/>
  <c r="N772" i="7"/>
  <c r="P773" i="7" s="1"/>
  <c r="M945" i="7"/>
  <c r="L946" i="7"/>
  <c r="O773" i="7" l="1"/>
  <c r="N773" i="7"/>
  <c r="P774" i="7" s="1"/>
  <c r="L947" i="7"/>
  <c r="M946" i="7"/>
  <c r="O774" i="7" l="1"/>
  <c r="N774" i="7"/>
  <c r="P775" i="7" s="1"/>
  <c r="L948" i="7"/>
  <c r="M947" i="7"/>
  <c r="O775" i="7" l="1"/>
  <c r="N775" i="7"/>
  <c r="P776" i="7" s="1"/>
  <c r="M948" i="7"/>
  <c r="L949" i="7"/>
  <c r="O776" i="7" l="1"/>
  <c r="N776" i="7"/>
  <c r="P777" i="7" s="1"/>
  <c r="L950" i="7"/>
  <c r="M949" i="7"/>
  <c r="O777" i="7" l="1"/>
  <c r="N777" i="7"/>
  <c r="P778" i="7" s="1"/>
  <c r="L951" i="7"/>
  <c r="M950" i="7"/>
  <c r="O778" i="7" l="1"/>
  <c r="N778" i="7"/>
  <c r="P779" i="7" s="1"/>
  <c r="M951" i="7"/>
  <c r="L952" i="7"/>
  <c r="O779" i="7" l="1"/>
  <c r="N779" i="7"/>
  <c r="P780" i="7" s="1"/>
  <c r="L953" i="7"/>
  <c r="M952" i="7"/>
  <c r="O780" i="7" l="1"/>
  <c r="N780" i="7"/>
  <c r="P781" i="7" s="1"/>
  <c r="M953" i="7"/>
  <c r="L954" i="7"/>
  <c r="O781" i="7" l="1"/>
  <c r="N781" i="7"/>
  <c r="P782" i="7" s="1"/>
  <c r="L955" i="7"/>
  <c r="M954" i="7"/>
  <c r="O782" i="7" l="1"/>
  <c r="N782" i="7"/>
  <c r="P783" i="7" s="1"/>
  <c r="L956" i="7"/>
  <c r="M955" i="7"/>
  <c r="O783" i="7" l="1"/>
  <c r="N783" i="7"/>
  <c r="P784" i="7" s="1"/>
  <c r="M956" i="7"/>
  <c r="L957" i="7"/>
  <c r="O784" i="7" l="1"/>
  <c r="N784" i="7"/>
  <c r="P785" i="7" s="1"/>
  <c r="L958" i="7"/>
  <c r="M957" i="7"/>
  <c r="O785" i="7" l="1"/>
  <c r="N785" i="7"/>
  <c r="P786" i="7" s="1"/>
  <c r="L959" i="7"/>
  <c r="M958" i="7"/>
  <c r="O786" i="7" l="1"/>
  <c r="N786" i="7"/>
  <c r="P787" i="7" s="1"/>
  <c r="M959" i="7"/>
  <c r="L960" i="7"/>
  <c r="O787" i="7" l="1"/>
  <c r="N787" i="7"/>
  <c r="P788" i="7" s="1"/>
  <c r="L961" i="7"/>
  <c r="M960" i="7"/>
  <c r="O788" i="7" l="1"/>
  <c r="N788" i="7"/>
  <c r="P789" i="7" s="1"/>
  <c r="M961" i="7"/>
  <c r="L962" i="7"/>
  <c r="O789" i="7" l="1"/>
  <c r="N789" i="7"/>
  <c r="P790" i="7" s="1"/>
  <c r="L963" i="7"/>
  <c r="M962" i="7"/>
  <c r="O790" i="7" l="1"/>
  <c r="N790" i="7"/>
  <c r="P791" i="7" s="1"/>
  <c r="L964" i="7"/>
  <c r="M963" i="7"/>
  <c r="O791" i="7" l="1"/>
  <c r="N791" i="7"/>
  <c r="P792" i="7" s="1"/>
  <c r="M964" i="7"/>
  <c r="L965" i="7"/>
  <c r="O792" i="7" l="1"/>
  <c r="N792" i="7"/>
  <c r="P793" i="7" s="1"/>
  <c r="L966" i="7"/>
  <c r="M965" i="7"/>
  <c r="O793" i="7" l="1"/>
  <c r="N793" i="7"/>
  <c r="P794" i="7" s="1"/>
  <c r="L967" i="7"/>
  <c r="M966" i="7"/>
  <c r="O794" i="7" l="1"/>
  <c r="N794" i="7"/>
  <c r="P795" i="7" s="1"/>
  <c r="M967" i="7"/>
  <c r="L968" i="7"/>
  <c r="O795" i="7" l="1"/>
  <c r="N795" i="7"/>
  <c r="P796" i="7" s="1"/>
  <c r="L969" i="7"/>
  <c r="M968" i="7"/>
  <c r="O796" i="7" l="1"/>
  <c r="N796" i="7"/>
  <c r="P797" i="7" s="1"/>
  <c r="M969" i="7"/>
  <c r="L970" i="7"/>
  <c r="O797" i="7" l="1"/>
  <c r="N797" i="7"/>
  <c r="P798" i="7" s="1"/>
  <c r="M970" i="7"/>
  <c r="L971" i="7"/>
  <c r="O798" i="7" l="1"/>
  <c r="N798" i="7"/>
  <c r="P799" i="7" s="1"/>
  <c r="L972" i="7"/>
  <c r="M971" i="7"/>
  <c r="O799" i="7" l="1"/>
  <c r="N799" i="7"/>
  <c r="P800" i="7" s="1"/>
  <c r="M972" i="7"/>
  <c r="L973" i="7"/>
  <c r="O800" i="7" l="1"/>
  <c r="N800" i="7"/>
  <c r="P801" i="7" s="1"/>
  <c r="L974" i="7"/>
  <c r="M973" i="7"/>
  <c r="O801" i="7" l="1"/>
  <c r="N801" i="7"/>
  <c r="P802" i="7" s="1"/>
  <c r="M974" i="7"/>
  <c r="L975" i="7"/>
  <c r="O802" i="7" l="1"/>
  <c r="N802" i="7"/>
  <c r="P803" i="7" s="1"/>
  <c r="M975" i="7"/>
  <c r="L976" i="7"/>
  <c r="O803" i="7" l="1"/>
  <c r="N803" i="7"/>
  <c r="P804" i="7" s="1"/>
  <c r="L977" i="7"/>
  <c r="M976" i="7"/>
  <c r="O804" i="7" l="1"/>
  <c r="N804" i="7"/>
  <c r="P805" i="7" s="1"/>
  <c r="M977" i="7"/>
  <c r="L978" i="7"/>
  <c r="O805" i="7" l="1"/>
  <c r="N805" i="7"/>
  <c r="P806" i="7" s="1"/>
  <c r="M978" i="7"/>
  <c r="L979" i="7"/>
  <c r="O806" i="7" l="1"/>
  <c r="N806" i="7"/>
  <c r="P807" i="7" s="1"/>
  <c r="L980" i="7"/>
  <c r="M979" i="7"/>
  <c r="O807" i="7" l="1"/>
  <c r="N807" i="7"/>
  <c r="P808" i="7" s="1"/>
  <c r="M980" i="7"/>
  <c r="L981" i="7"/>
  <c r="O808" i="7" l="1"/>
  <c r="N808" i="7"/>
  <c r="P809" i="7" s="1"/>
  <c r="L982" i="7"/>
  <c r="M981" i="7"/>
  <c r="O809" i="7" l="1"/>
  <c r="N809" i="7"/>
  <c r="P810" i="7" s="1"/>
  <c r="L983" i="7"/>
  <c r="M982" i="7"/>
  <c r="O810" i="7" l="1"/>
  <c r="N810" i="7"/>
  <c r="P811" i="7" s="1"/>
  <c r="M983" i="7"/>
  <c r="L984" i="7"/>
  <c r="O811" i="7" l="1"/>
  <c r="N811" i="7"/>
  <c r="P812" i="7" s="1"/>
  <c r="L985" i="7"/>
  <c r="M984" i="7"/>
  <c r="O812" i="7" l="1"/>
  <c r="N812" i="7"/>
  <c r="P813" i="7" s="1"/>
  <c r="M985" i="7"/>
  <c r="L986" i="7"/>
  <c r="O813" i="7" l="1"/>
  <c r="N813" i="7"/>
  <c r="P814" i="7" s="1"/>
  <c r="L987" i="7"/>
  <c r="M986" i="7"/>
  <c r="O814" i="7" l="1"/>
  <c r="N814" i="7"/>
  <c r="P815" i="7" s="1"/>
  <c r="L988" i="7"/>
  <c r="M987" i="7"/>
  <c r="O815" i="7" l="1"/>
  <c r="N815" i="7"/>
  <c r="P816" i="7" s="1"/>
  <c r="M988" i="7"/>
  <c r="L989" i="7"/>
  <c r="O816" i="7" l="1"/>
  <c r="N816" i="7"/>
  <c r="P817" i="7" s="1"/>
  <c r="L990" i="7"/>
  <c r="M989" i="7"/>
  <c r="O817" i="7" l="1"/>
  <c r="N817" i="7"/>
  <c r="P818" i="7" s="1"/>
  <c r="L991" i="7"/>
  <c r="M990" i="7"/>
  <c r="O818" i="7" l="1"/>
  <c r="N818" i="7"/>
  <c r="P819" i="7" s="1"/>
  <c r="M991" i="7"/>
  <c r="L992" i="7"/>
  <c r="O819" i="7" l="1"/>
  <c r="N819" i="7"/>
  <c r="P820" i="7" s="1"/>
  <c r="L993" i="7"/>
  <c r="M992" i="7"/>
  <c r="O820" i="7" l="1"/>
  <c r="N820" i="7"/>
  <c r="P821" i="7" s="1"/>
  <c r="M993" i="7"/>
  <c r="L994" i="7"/>
  <c r="O821" i="7" l="1"/>
  <c r="N821" i="7"/>
  <c r="P822" i="7" s="1"/>
  <c r="L995" i="7"/>
  <c r="M994" i="7"/>
  <c r="O822" i="7" l="1"/>
  <c r="N822" i="7"/>
  <c r="P823" i="7" s="1"/>
  <c r="L996" i="7"/>
  <c r="M995" i="7"/>
  <c r="O823" i="7" l="1"/>
  <c r="N823" i="7"/>
  <c r="P824" i="7" s="1"/>
  <c r="M996" i="7"/>
  <c r="L997" i="7"/>
  <c r="O824" i="7" l="1"/>
  <c r="N824" i="7"/>
  <c r="P825" i="7" s="1"/>
  <c r="L998" i="7"/>
  <c r="M997" i="7"/>
  <c r="O825" i="7" l="1"/>
  <c r="N825" i="7"/>
  <c r="P826" i="7" s="1"/>
  <c r="M998" i="7"/>
  <c r="L999" i="7"/>
  <c r="O826" i="7" l="1"/>
  <c r="N826" i="7"/>
  <c r="P827" i="7" s="1"/>
  <c r="M999" i="7"/>
  <c r="L1000" i="7"/>
  <c r="O827" i="7" l="1"/>
  <c r="N827" i="7"/>
  <c r="P828" i="7" s="1"/>
  <c r="L1001" i="7"/>
  <c r="M1000" i="7"/>
  <c r="O828" i="7" l="1"/>
  <c r="N828" i="7"/>
  <c r="P829" i="7" s="1"/>
  <c r="M1001" i="7"/>
  <c r="L1002" i="7"/>
  <c r="O829" i="7" l="1"/>
  <c r="N829" i="7"/>
  <c r="P830" i="7" s="1"/>
  <c r="M1002" i="7"/>
  <c r="L1003" i="7"/>
  <c r="O830" i="7" l="1"/>
  <c r="N830" i="7"/>
  <c r="P831" i="7" s="1"/>
  <c r="L1004" i="7"/>
  <c r="M1003" i="7"/>
  <c r="O831" i="7" l="1"/>
  <c r="N831" i="7"/>
  <c r="P832" i="7" s="1"/>
  <c r="M1004" i="7"/>
  <c r="L1005" i="7"/>
  <c r="O832" i="7" l="1"/>
  <c r="N832" i="7"/>
  <c r="P833" i="7" s="1"/>
  <c r="L1006" i="7"/>
  <c r="M1005" i="7"/>
  <c r="O833" i="7" l="1"/>
  <c r="N833" i="7"/>
  <c r="P834" i="7" s="1"/>
  <c r="M1006" i="7"/>
  <c r="L1007" i="7"/>
  <c r="O834" i="7" l="1"/>
  <c r="N834" i="7"/>
  <c r="P835" i="7" s="1"/>
  <c r="M1007" i="7"/>
  <c r="L1008" i="7"/>
  <c r="O835" i="7" l="1"/>
  <c r="N835" i="7"/>
  <c r="P836" i="7" s="1"/>
  <c r="L1009" i="7"/>
  <c r="M1008" i="7"/>
  <c r="O836" i="7" l="1"/>
  <c r="N836" i="7"/>
  <c r="P837" i="7" s="1"/>
  <c r="M1009" i="7"/>
  <c r="L1010" i="7"/>
  <c r="O837" i="7" l="1"/>
  <c r="N837" i="7"/>
  <c r="P838" i="7" s="1"/>
  <c r="L1011" i="7"/>
  <c r="M1010" i="7"/>
  <c r="O838" i="7" l="1"/>
  <c r="N838" i="7"/>
  <c r="P839" i="7" s="1"/>
  <c r="L1012" i="7"/>
  <c r="M1011" i="7"/>
  <c r="O839" i="7" l="1"/>
  <c r="N839" i="7"/>
  <c r="P840" i="7" s="1"/>
  <c r="M1012" i="7"/>
  <c r="L1013" i="7"/>
  <c r="O840" i="7" l="1"/>
  <c r="N840" i="7"/>
  <c r="P841" i="7" s="1"/>
  <c r="L1014" i="7"/>
  <c r="M1013" i="7"/>
  <c r="O841" i="7" l="1"/>
  <c r="N841" i="7"/>
  <c r="P842" i="7" s="1"/>
  <c r="L1015" i="7"/>
  <c r="M1014" i="7"/>
  <c r="O842" i="7" l="1"/>
  <c r="N842" i="7"/>
  <c r="P843" i="7" s="1"/>
  <c r="M1015" i="7"/>
  <c r="L1016" i="7"/>
  <c r="O843" i="7" l="1"/>
  <c r="N843" i="7"/>
  <c r="P844" i="7" s="1"/>
  <c r="L1017" i="7"/>
  <c r="M1016" i="7"/>
  <c r="O844" i="7" l="1"/>
  <c r="N844" i="7"/>
  <c r="P845" i="7" s="1"/>
  <c r="M1017" i="7"/>
  <c r="L1018" i="7"/>
  <c r="O845" i="7" l="1"/>
  <c r="N845" i="7"/>
  <c r="P846" i="7" s="1"/>
  <c r="L1019" i="7"/>
  <c r="M1018" i="7"/>
  <c r="O846" i="7" l="1"/>
  <c r="N846" i="7"/>
  <c r="P847" i="7" s="1"/>
  <c r="L1020" i="7"/>
  <c r="M1019" i="7"/>
  <c r="O847" i="7" l="1"/>
  <c r="N847" i="7"/>
  <c r="P848" i="7" s="1"/>
  <c r="M1020" i="7"/>
  <c r="L1021" i="7"/>
  <c r="O848" i="7" l="1"/>
  <c r="N848" i="7"/>
  <c r="P849" i="7" s="1"/>
  <c r="L1022" i="7"/>
  <c r="M1021" i="7"/>
  <c r="O849" i="7" l="1"/>
  <c r="N849" i="7"/>
  <c r="P850" i="7" s="1"/>
  <c r="L1023" i="7"/>
  <c r="M1022" i="7"/>
  <c r="O850" i="7" l="1"/>
  <c r="N850" i="7"/>
  <c r="P851" i="7" s="1"/>
  <c r="M1023" i="7"/>
  <c r="L1024" i="7"/>
  <c r="O851" i="7" l="1"/>
  <c r="N851" i="7"/>
  <c r="P852" i="7" s="1"/>
  <c r="L1025" i="7"/>
  <c r="M1024" i="7"/>
  <c r="O852" i="7" l="1"/>
  <c r="N852" i="7"/>
  <c r="P853" i="7" s="1"/>
  <c r="M1025" i="7"/>
  <c r="L1026" i="7"/>
  <c r="O853" i="7" l="1"/>
  <c r="N853" i="7"/>
  <c r="P854" i="7" s="1"/>
  <c r="L1027" i="7"/>
  <c r="M1026" i="7"/>
  <c r="O854" i="7" l="1"/>
  <c r="N854" i="7"/>
  <c r="P855" i="7" s="1"/>
  <c r="L1028" i="7"/>
  <c r="M1027" i="7"/>
  <c r="O855" i="7" l="1"/>
  <c r="N855" i="7"/>
  <c r="P856" i="7" s="1"/>
  <c r="M1028" i="7"/>
  <c r="L1029" i="7"/>
  <c r="O856" i="7" l="1"/>
  <c r="N856" i="7"/>
  <c r="P857" i="7" s="1"/>
  <c r="L1030" i="7"/>
  <c r="M1029" i="7"/>
  <c r="O857" i="7" l="1"/>
  <c r="N857" i="7"/>
  <c r="P858" i="7" s="1"/>
  <c r="L1031" i="7"/>
  <c r="M1030" i="7"/>
  <c r="O858" i="7" l="1"/>
  <c r="N858" i="7"/>
  <c r="P859" i="7" s="1"/>
  <c r="M1031" i="7"/>
  <c r="L1032" i="7"/>
  <c r="O859" i="7" l="1"/>
  <c r="N859" i="7"/>
  <c r="P860" i="7" s="1"/>
  <c r="L1033" i="7"/>
  <c r="M1032" i="7"/>
  <c r="O860" i="7" l="1"/>
  <c r="N860" i="7"/>
  <c r="P861" i="7" s="1"/>
  <c r="M1033" i="7"/>
  <c r="L1034" i="7"/>
  <c r="O861" i="7" l="1"/>
  <c r="N861" i="7"/>
  <c r="P862" i="7" s="1"/>
  <c r="M1034" i="7"/>
  <c r="L1035" i="7"/>
  <c r="O862" i="7" l="1"/>
  <c r="N862" i="7"/>
  <c r="P863" i="7" s="1"/>
  <c r="L1036" i="7"/>
  <c r="M1035" i="7"/>
  <c r="O863" i="7" l="1"/>
  <c r="N863" i="7"/>
  <c r="P864" i="7" s="1"/>
  <c r="M1036" i="7"/>
  <c r="L1037" i="7"/>
  <c r="O864" i="7" l="1"/>
  <c r="N864" i="7"/>
  <c r="P865" i="7" s="1"/>
  <c r="L1038" i="7"/>
  <c r="M1037" i="7"/>
  <c r="O865" i="7" l="1"/>
  <c r="N865" i="7"/>
  <c r="P866" i="7" s="1"/>
  <c r="M1038" i="7"/>
  <c r="L1039" i="7"/>
  <c r="O866" i="7" l="1"/>
  <c r="N866" i="7"/>
  <c r="P867" i="7" s="1"/>
  <c r="M1039" i="7"/>
  <c r="L1040" i="7"/>
  <c r="O867" i="7" l="1"/>
  <c r="N867" i="7"/>
  <c r="P868" i="7" s="1"/>
  <c r="L1041" i="7"/>
  <c r="M1040" i="7"/>
  <c r="O868" i="7" l="1"/>
  <c r="N868" i="7"/>
  <c r="P869" i="7" s="1"/>
  <c r="M1041" i="7"/>
  <c r="L1042" i="7"/>
  <c r="O869" i="7" l="1"/>
  <c r="N869" i="7"/>
  <c r="P870" i="7" s="1"/>
  <c r="M1042" i="7"/>
  <c r="L1043" i="7"/>
  <c r="O870" i="7" l="1"/>
  <c r="N870" i="7"/>
  <c r="P871" i="7" s="1"/>
  <c r="L1044" i="7"/>
  <c r="M1043" i="7"/>
  <c r="O871" i="7" l="1"/>
  <c r="N871" i="7"/>
  <c r="P872" i="7" s="1"/>
  <c r="M1044" i="7"/>
  <c r="L1045" i="7"/>
  <c r="O872" i="7" l="1"/>
  <c r="N872" i="7"/>
  <c r="P873" i="7" s="1"/>
  <c r="L1046" i="7"/>
  <c r="M1045" i="7"/>
  <c r="O873" i="7" l="1"/>
  <c r="N873" i="7"/>
  <c r="P874" i="7" s="1"/>
  <c r="L1047" i="7"/>
  <c r="M1046" i="7"/>
  <c r="O874" i="7" l="1"/>
  <c r="N874" i="7"/>
  <c r="P875" i="7" s="1"/>
  <c r="M1047" i="7"/>
  <c r="L1048" i="7"/>
  <c r="O875" i="7" l="1"/>
  <c r="N875" i="7"/>
  <c r="P876" i="7" s="1"/>
  <c r="L1049" i="7"/>
  <c r="M1048" i="7"/>
  <c r="O876" i="7" l="1"/>
  <c r="N876" i="7"/>
  <c r="P877" i="7" s="1"/>
  <c r="M1049" i="7"/>
  <c r="L1050" i="7"/>
  <c r="O877" i="7" l="1"/>
  <c r="N877" i="7"/>
  <c r="P878" i="7" s="1"/>
  <c r="L1051" i="7"/>
  <c r="M1050" i="7"/>
  <c r="O878" i="7" l="1"/>
  <c r="N878" i="7"/>
  <c r="P879" i="7" s="1"/>
  <c r="L1052" i="7"/>
  <c r="M1051" i="7"/>
  <c r="O879" i="7" l="1"/>
  <c r="N879" i="7"/>
  <c r="P880" i="7" s="1"/>
  <c r="M1052" i="7"/>
  <c r="L1053" i="7"/>
  <c r="O880" i="7" l="1"/>
  <c r="N880" i="7"/>
  <c r="P881" i="7" s="1"/>
  <c r="L1054" i="7"/>
  <c r="M1053" i="7"/>
  <c r="O881" i="7" l="1"/>
  <c r="N881" i="7"/>
  <c r="P882" i="7" s="1"/>
  <c r="L1055" i="7"/>
  <c r="M1054" i="7"/>
  <c r="O882" i="7" l="1"/>
  <c r="N882" i="7"/>
  <c r="P883" i="7" s="1"/>
  <c r="M1055" i="7"/>
  <c r="L1056" i="7"/>
  <c r="O883" i="7" l="1"/>
  <c r="N883" i="7"/>
  <c r="P884" i="7" s="1"/>
  <c r="L1057" i="7"/>
  <c r="M1056" i="7"/>
  <c r="O884" i="7" l="1"/>
  <c r="N884" i="7"/>
  <c r="P885" i="7" s="1"/>
  <c r="M1057" i="7"/>
  <c r="L1058" i="7"/>
  <c r="O885" i="7" l="1"/>
  <c r="N885" i="7"/>
  <c r="P886" i="7" s="1"/>
  <c r="M1058" i="7"/>
  <c r="L1059" i="7"/>
  <c r="O886" i="7" l="1"/>
  <c r="N886" i="7"/>
  <c r="P887" i="7" s="1"/>
  <c r="L1060" i="7"/>
  <c r="M1059" i="7"/>
  <c r="O887" i="7" l="1"/>
  <c r="N887" i="7"/>
  <c r="P888" i="7" s="1"/>
  <c r="M1060" i="7"/>
  <c r="L1061" i="7"/>
  <c r="O888" i="7" l="1"/>
  <c r="N888" i="7"/>
  <c r="P889" i="7" s="1"/>
  <c r="L1062" i="7"/>
  <c r="M1061" i="7"/>
  <c r="O889" i="7" l="1"/>
  <c r="N889" i="7"/>
  <c r="P890" i="7" s="1"/>
  <c r="M1062" i="7"/>
  <c r="L1063" i="7"/>
  <c r="O890" i="7" l="1"/>
  <c r="N890" i="7"/>
  <c r="P891" i="7" s="1"/>
  <c r="M1063" i="7"/>
  <c r="L1064" i="7"/>
  <c r="O891" i="7" l="1"/>
  <c r="N891" i="7"/>
  <c r="P892" i="7" s="1"/>
  <c r="L1065" i="7"/>
  <c r="M1064" i="7"/>
  <c r="O892" i="7" l="1"/>
  <c r="N892" i="7"/>
  <c r="P893" i="7" s="1"/>
  <c r="M1065" i="7"/>
  <c r="L1066" i="7"/>
  <c r="O893" i="7" l="1"/>
  <c r="N893" i="7"/>
  <c r="P894" i="7" s="1"/>
  <c r="M1066" i="7"/>
  <c r="L1067" i="7"/>
  <c r="O894" i="7" l="1"/>
  <c r="N894" i="7"/>
  <c r="P895" i="7" s="1"/>
  <c r="L1068" i="7"/>
  <c r="M1067" i="7"/>
  <c r="O895" i="7" l="1"/>
  <c r="N895" i="7"/>
  <c r="P896" i="7" s="1"/>
  <c r="M1068" i="7"/>
  <c r="L1069" i="7"/>
  <c r="O896" i="7" l="1"/>
  <c r="N896" i="7"/>
  <c r="P897" i="7" s="1"/>
  <c r="L1070" i="7"/>
  <c r="M1069" i="7"/>
  <c r="O897" i="7" l="1"/>
  <c r="N897" i="7"/>
  <c r="P898" i="7" s="1"/>
  <c r="M1070" i="7"/>
  <c r="L1071" i="7"/>
  <c r="O898" i="7" l="1"/>
  <c r="N898" i="7"/>
  <c r="P899" i="7" s="1"/>
  <c r="M1071" i="7"/>
  <c r="L1072" i="7"/>
  <c r="O899" i="7" l="1"/>
  <c r="N899" i="7"/>
  <c r="P900" i="7" s="1"/>
  <c r="L1073" i="7"/>
  <c r="M1072" i="7"/>
  <c r="O900" i="7" l="1"/>
  <c r="N900" i="7"/>
  <c r="P901" i="7" s="1"/>
  <c r="M1073" i="7"/>
  <c r="L1074" i="7"/>
  <c r="O901" i="7" l="1"/>
  <c r="N901" i="7"/>
  <c r="P902" i="7" s="1"/>
  <c r="L1075" i="7"/>
  <c r="M1074" i="7"/>
  <c r="O902" i="7" l="1"/>
  <c r="N902" i="7"/>
  <c r="P903" i="7" s="1"/>
  <c r="L1076" i="7"/>
  <c r="M1075" i="7"/>
  <c r="O903" i="7" l="1"/>
  <c r="N903" i="7"/>
  <c r="P904" i="7" s="1"/>
  <c r="M1076" i="7"/>
  <c r="L1077" i="7"/>
  <c r="O904" i="7" l="1"/>
  <c r="N904" i="7"/>
  <c r="P905" i="7" s="1"/>
  <c r="L1078" i="7"/>
  <c r="M1077" i="7"/>
  <c r="O905" i="7" l="1"/>
  <c r="N905" i="7"/>
  <c r="P906" i="7" s="1"/>
  <c r="L1079" i="7"/>
  <c r="M1078" i="7"/>
  <c r="O906" i="7" l="1"/>
  <c r="N906" i="7"/>
  <c r="P907" i="7" s="1"/>
  <c r="M1079" i="7"/>
  <c r="L1080" i="7"/>
  <c r="O907" i="7" l="1"/>
  <c r="N907" i="7"/>
  <c r="P908" i="7" s="1"/>
  <c r="L1081" i="7"/>
  <c r="M1080" i="7"/>
  <c r="O908" i="7" l="1"/>
  <c r="N908" i="7"/>
  <c r="P909" i="7" s="1"/>
  <c r="M1081" i="7"/>
  <c r="L1082" i="7"/>
  <c r="O909" i="7" l="1"/>
  <c r="N909" i="7"/>
  <c r="P910" i="7" s="1"/>
  <c r="L1083" i="7"/>
  <c r="M1082" i="7"/>
  <c r="O910" i="7" l="1"/>
  <c r="N910" i="7"/>
  <c r="P911" i="7" s="1"/>
  <c r="L1084" i="7"/>
  <c r="M1083" i="7"/>
  <c r="O911" i="7" l="1"/>
  <c r="N911" i="7"/>
  <c r="P912" i="7" s="1"/>
  <c r="M1084" i="7"/>
  <c r="L1085" i="7"/>
  <c r="O912" i="7" l="1"/>
  <c r="N912" i="7"/>
  <c r="P913" i="7" s="1"/>
  <c r="L1086" i="7"/>
  <c r="M1085" i="7"/>
  <c r="O913" i="7" l="1"/>
  <c r="N913" i="7"/>
  <c r="P914" i="7" s="1"/>
  <c r="L1087" i="7"/>
  <c r="M1086" i="7"/>
  <c r="O914" i="7" l="1"/>
  <c r="N914" i="7"/>
  <c r="P915" i="7" s="1"/>
  <c r="M1087" i="7"/>
  <c r="L1088" i="7"/>
  <c r="O915" i="7" l="1"/>
  <c r="N915" i="7"/>
  <c r="P916" i="7" s="1"/>
  <c r="L1089" i="7"/>
  <c r="M1088" i="7"/>
  <c r="O916" i="7" l="1"/>
  <c r="N916" i="7"/>
  <c r="P917" i="7" s="1"/>
  <c r="M1089" i="7"/>
  <c r="L1090" i="7"/>
  <c r="O917" i="7" l="1"/>
  <c r="N917" i="7"/>
  <c r="P918" i="7" s="1"/>
  <c r="L1091" i="7"/>
  <c r="M1090" i="7"/>
  <c r="O918" i="7" l="1"/>
  <c r="N918" i="7"/>
  <c r="P919" i="7" s="1"/>
  <c r="L1092" i="7"/>
  <c r="M1091" i="7"/>
  <c r="O919" i="7" l="1"/>
  <c r="N919" i="7"/>
  <c r="P920" i="7" s="1"/>
  <c r="M1092" i="7"/>
  <c r="L1093" i="7"/>
  <c r="O920" i="7" l="1"/>
  <c r="N920" i="7"/>
  <c r="P921" i="7" s="1"/>
  <c r="L1094" i="7"/>
  <c r="M1093" i="7"/>
  <c r="O921" i="7" l="1"/>
  <c r="N921" i="7"/>
  <c r="P922" i="7" s="1"/>
  <c r="M1094" i="7"/>
  <c r="L1095" i="7"/>
  <c r="O922" i="7" l="1"/>
  <c r="N922" i="7"/>
  <c r="P923" i="7" s="1"/>
  <c r="M1095" i="7"/>
  <c r="L1096" i="7"/>
  <c r="O923" i="7" l="1"/>
  <c r="N923" i="7"/>
  <c r="P924" i="7" s="1"/>
  <c r="L1097" i="7"/>
  <c r="M1096" i="7"/>
  <c r="O924" i="7" l="1"/>
  <c r="N924" i="7"/>
  <c r="P925" i="7" s="1"/>
  <c r="M1097" i="7"/>
  <c r="L1098" i="7"/>
  <c r="O925" i="7" l="1"/>
  <c r="N925" i="7"/>
  <c r="P926" i="7" s="1"/>
  <c r="L1099" i="7"/>
  <c r="M1098" i="7"/>
  <c r="O926" i="7" l="1"/>
  <c r="N926" i="7"/>
  <c r="P927" i="7" s="1"/>
  <c r="L1100" i="7"/>
  <c r="M1099" i="7"/>
  <c r="O927" i="7" l="1"/>
  <c r="N927" i="7"/>
  <c r="P928" i="7" s="1"/>
  <c r="M1100" i="7"/>
  <c r="L1101" i="7"/>
  <c r="O928" i="7" l="1"/>
  <c r="N928" i="7"/>
  <c r="P929" i="7" s="1"/>
  <c r="L1102" i="7"/>
  <c r="M1101" i="7"/>
  <c r="O929" i="7" l="1"/>
  <c r="N929" i="7"/>
  <c r="P930" i="7" s="1"/>
  <c r="M1102" i="7"/>
  <c r="L1103" i="7"/>
  <c r="O930" i="7" l="1"/>
  <c r="N930" i="7"/>
  <c r="P931" i="7" s="1"/>
  <c r="M1103" i="7"/>
  <c r="L1104" i="7"/>
  <c r="O931" i="7" l="1"/>
  <c r="N931" i="7"/>
  <c r="P932" i="7" s="1"/>
  <c r="L1105" i="7"/>
  <c r="M1104" i="7"/>
  <c r="O932" i="7" l="1"/>
  <c r="N932" i="7"/>
  <c r="P933" i="7" s="1"/>
  <c r="M1105" i="7"/>
  <c r="L1106" i="7"/>
  <c r="O933" i="7" l="1"/>
  <c r="N933" i="7"/>
  <c r="P934" i="7" s="1"/>
  <c r="L1107" i="7"/>
  <c r="M1106" i="7"/>
  <c r="O934" i="7" l="1"/>
  <c r="N934" i="7"/>
  <c r="P935" i="7" s="1"/>
  <c r="L1108" i="7"/>
  <c r="M1107" i="7"/>
  <c r="O935" i="7" l="1"/>
  <c r="N935" i="7"/>
  <c r="P936" i="7" s="1"/>
  <c r="M1108" i="7"/>
  <c r="L1109" i="7"/>
  <c r="O936" i="7" l="1"/>
  <c r="N936" i="7"/>
  <c r="P937" i="7" s="1"/>
  <c r="L1110" i="7"/>
  <c r="M1109" i="7"/>
  <c r="O937" i="7" l="1"/>
  <c r="N937" i="7"/>
  <c r="P938" i="7" s="1"/>
  <c r="M1110" i="7"/>
  <c r="L1111" i="7"/>
  <c r="O938" i="7" l="1"/>
  <c r="N938" i="7"/>
  <c r="P939" i="7" s="1"/>
  <c r="M1111" i="7"/>
  <c r="L1112" i="7"/>
  <c r="O939" i="7" l="1"/>
  <c r="N939" i="7"/>
  <c r="P940" i="7" s="1"/>
  <c r="L1113" i="7"/>
  <c r="M1112" i="7"/>
  <c r="O940" i="7" l="1"/>
  <c r="N940" i="7"/>
  <c r="P941" i="7" s="1"/>
  <c r="M1113" i="7"/>
  <c r="L1114" i="7"/>
  <c r="O941" i="7" l="1"/>
  <c r="N941" i="7"/>
  <c r="P942" i="7" s="1"/>
  <c r="L1115" i="7"/>
  <c r="M1114" i="7"/>
  <c r="O942" i="7" l="1"/>
  <c r="N942" i="7"/>
  <c r="P943" i="7" s="1"/>
  <c r="L1116" i="7"/>
  <c r="M1115" i="7"/>
  <c r="O943" i="7" l="1"/>
  <c r="N943" i="7"/>
  <c r="P944" i="7" s="1"/>
  <c r="M1116" i="7"/>
  <c r="L1117" i="7"/>
  <c r="O944" i="7" l="1"/>
  <c r="N944" i="7"/>
  <c r="P945" i="7" s="1"/>
  <c r="L1118" i="7"/>
  <c r="M1117" i="7"/>
  <c r="O945" i="7" l="1"/>
  <c r="N945" i="7"/>
  <c r="P946" i="7" s="1"/>
  <c r="M1118" i="7"/>
  <c r="L1119" i="7"/>
  <c r="O946" i="7" l="1"/>
  <c r="N946" i="7"/>
  <c r="P947" i="7" s="1"/>
  <c r="M1119" i="7"/>
  <c r="L1120" i="7"/>
  <c r="O947" i="7" l="1"/>
  <c r="N947" i="7"/>
  <c r="P948" i="7" s="1"/>
  <c r="L1121" i="7"/>
  <c r="M1120" i="7"/>
  <c r="O948" i="7" l="1"/>
  <c r="N948" i="7"/>
  <c r="P949" i="7" s="1"/>
  <c r="M1121" i="7"/>
  <c r="L1122" i="7"/>
  <c r="O949" i="7" l="1"/>
  <c r="N949" i="7"/>
  <c r="P950" i="7" s="1"/>
  <c r="L1123" i="7"/>
  <c r="M1122" i="7"/>
  <c r="O950" i="7" l="1"/>
  <c r="N950" i="7"/>
  <c r="P951" i="7" s="1"/>
  <c r="L1124" i="7"/>
  <c r="M1123" i="7"/>
  <c r="O951" i="7" l="1"/>
  <c r="N951" i="7"/>
  <c r="P952" i="7" s="1"/>
  <c r="M1124" i="7"/>
  <c r="L1125" i="7"/>
  <c r="O952" i="7" l="1"/>
  <c r="N952" i="7"/>
  <c r="P953" i="7" s="1"/>
  <c r="L1126" i="7"/>
  <c r="M1125" i="7"/>
  <c r="O953" i="7" l="1"/>
  <c r="N953" i="7"/>
  <c r="P954" i="7" s="1"/>
  <c r="M1126" i="7"/>
  <c r="L1127" i="7"/>
  <c r="O954" i="7" l="1"/>
  <c r="N954" i="7"/>
  <c r="P955" i="7" s="1"/>
  <c r="M1127" i="7"/>
  <c r="L1128" i="7"/>
  <c r="O955" i="7" l="1"/>
  <c r="N955" i="7"/>
  <c r="P956" i="7" s="1"/>
  <c r="L1129" i="7"/>
  <c r="M1128" i="7"/>
  <c r="O956" i="7" l="1"/>
  <c r="N956" i="7"/>
  <c r="P957" i="7" s="1"/>
  <c r="M1129" i="7"/>
  <c r="L1130" i="7"/>
  <c r="O957" i="7" l="1"/>
  <c r="N957" i="7"/>
  <c r="P958" i="7" s="1"/>
  <c r="L1131" i="7"/>
  <c r="M1130" i="7"/>
  <c r="O958" i="7" l="1"/>
  <c r="N958" i="7"/>
  <c r="P959" i="7" s="1"/>
  <c r="L1132" i="7"/>
  <c r="M1131" i="7"/>
  <c r="O959" i="7" l="1"/>
  <c r="N959" i="7"/>
  <c r="P960" i="7" s="1"/>
  <c r="M1132" i="7"/>
  <c r="L1133" i="7"/>
  <c r="O960" i="7" l="1"/>
  <c r="N960" i="7"/>
  <c r="P961" i="7" s="1"/>
  <c r="L1134" i="7"/>
  <c r="M1133" i="7"/>
  <c r="O961" i="7" l="1"/>
  <c r="N961" i="7"/>
  <c r="P962" i="7" s="1"/>
  <c r="M1134" i="7"/>
  <c r="L1135" i="7"/>
  <c r="O962" i="7" l="1"/>
  <c r="N962" i="7"/>
  <c r="P963" i="7" s="1"/>
  <c r="M1135" i="7"/>
  <c r="L1136" i="7"/>
  <c r="O963" i="7" l="1"/>
  <c r="N963" i="7"/>
  <c r="P964" i="7" s="1"/>
  <c r="L1137" i="7"/>
  <c r="M1136" i="7"/>
  <c r="O964" i="7" l="1"/>
  <c r="N964" i="7"/>
  <c r="P965" i="7" s="1"/>
  <c r="M1137" i="7"/>
  <c r="L1138" i="7"/>
  <c r="O965" i="7" l="1"/>
  <c r="N965" i="7"/>
  <c r="P966" i="7" s="1"/>
  <c r="L1139" i="7"/>
  <c r="M1138" i="7"/>
  <c r="O966" i="7" l="1"/>
  <c r="N966" i="7"/>
  <c r="P967" i="7" s="1"/>
  <c r="L1140" i="7"/>
  <c r="M1139" i="7"/>
  <c r="O967" i="7" l="1"/>
  <c r="N967" i="7"/>
  <c r="P968" i="7" s="1"/>
  <c r="M1140" i="7"/>
  <c r="L1141" i="7"/>
  <c r="O968" i="7" l="1"/>
  <c r="N968" i="7"/>
  <c r="P969" i="7" s="1"/>
  <c r="L1142" i="7"/>
  <c r="M1141" i="7"/>
  <c r="O969" i="7" l="1"/>
  <c r="N969" i="7"/>
  <c r="P970" i="7" s="1"/>
  <c r="M1142" i="7"/>
  <c r="L1143" i="7"/>
  <c r="O970" i="7" l="1"/>
  <c r="N970" i="7"/>
  <c r="P971" i="7" s="1"/>
  <c r="M1143" i="7"/>
  <c r="L1144" i="7"/>
  <c r="O971" i="7" l="1"/>
  <c r="N971" i="7"/>
  <c r="P972" i="7" s="1"/>
  <c r="L1145" i="7"/>
  <c r="M1144" i="7"/>
  <c r="O972" i="7" l="1"/>
  <c r="N972" i="7"/>
  <c r="P973" i="7" s="1"/>
  <c r="M1145" i="7"/>
  <c r="L1146" i="7"/>
  <c r="O973" i="7" l="1"/>
  <c r="N973" i="7"/>
  <c r="P974" i="7" s="1"/>
  <c r="L1147" i="7"/>
  <c r="M1146" i="7"/>
  <c r="O974" i="7" l="1"/>
  <c r="N974" i="7"/>
  <c r="P975" i="7" s="1"/>
  <c r="L1148" i="7"/>
  <c r="M1147" i="7"/>
  <c r="O975" i="7" l="1"/>
  <c r="N975" i="7"/>
  <c r="P976" i="7" s="1"/>
  <c r="M1148" i="7"/>
  <c r="L1149" i="7"/>
  <c r="O976" i="7" l="1"/>
  <c r="N976" i="7"/>
  <c r="P977" i="7" s="1"/>
  <c r="L1150" i="7"/>
  <c r="M1149" i="7"/>
  <c r="O977" i="7" l="1"/>
  <c r="N977" i="7"/>
  <c r="P978" i="7" s="1"/>
  <c r="M1150" i="7"/>
  <c r="L1151" i="7"/>
  <c r="O978" i="7" l="1"/>
  <c r="N978" i="7"/>
  <c r="P979" i="7" s="1"/>
  <c r="M1151" i="7"/>
  <c r="L1152" i="7"/>
  <c r="O979" i="7" l="1"/>
  <c r="N979" i="7"/>
  <c r="P980" i="7" s="1"/>
  <c r="L1153" i="7"/>
  <c r="M1152" i="7"/>
  <c r="O980" i="7" l="1"/>
  <c r="N980" i="7"/>
  <c r="P981" i="7" s="1"/>
  <c r="M1153" i="7"/>
  <c r="L1154" i="7"/>
  <c r="O981" i="7" l="1"/>
  <c r="N981" i="7"/>
  <c r="P982" i="7" s="1"/>
  <c r="L1155" i="7"/>
  <c r="M1154" i="7"/>
  <c r="O982" i="7" l="1"/>
  <c r="N982" i="7"/>
  <c r="P983" i="7" s="1"/>
  <c r="L1156" i="7"/>
  <c r="M1155" i="7"/>
  <c r="O983" i="7" l="1"/>
  <c r="N983" i="7"/>
  <c r="P984" i="7" s="1"/>
  <c r="M1156" i="7"/>
  <c r="L1157" i="7"/>
  <c r="O984" i="7" l="1"/>
  <c r="N984" i="7"/>
  <c r="P985" i="7" s="1"/>
  <c r="L1158" i="7"/>
  <c r="M1157" i="7"/>
  <c r="O985" i="7" l="1"/>
  <c r="N985" i="7"/>
  <c r="P986" i="7" s="1"/>
  <c r="M1158" i="7"/>
  <c r="L1159" i="7"/>
  <c r="O986" i="7" l="1"/>
  <c r="N986" i="7"/>
  <c r="P987" i="7" s="1"/>
  <c r="M1159" i="7"/>
  <c r="L1160" i="7"/>
  <c r="O987" i="7" l="1"/>
  <c r="N987" i="7"/>
  <c r="P988" i="7" s="1"/>
  <c r="L1161" i="7"/>
  <c r="M1160" i="7"/>
  <c r="O988" i="7" l="1"/>
  <c r="N988" i="7"/>
  <c r="P989" i="7" s="1"/>
  <c r="L1162" i="7"/>
  <c r="M1161" i="7"/>
  <c r="O989" i="7" l="1"/>
  <c r="N989" i="7"/>
  <c r="P990" i="7" s="1"/>
  <c r="L1163" i="7"/>
  <c r="M1162" i="7"/>
  <c r="O990" i="7" l="1"/>
  <c r="N990" i="7"/>
  <c r="P991" i="7" s="1"/>
  <c r="M1163" i="7"/>
  <c r="L1164" i="7"/>
  <c r="O991" i="7" l="1"/>
  <c r="N991" i="7"/>
  <c r="P992" i="7" s="1"/>
  <c r="L1165" i="7"/>
  <c r="M1164" i="7"/>
  <c r="O992" i="7" l="1"/>
  <c r="N992" i="7"/>
  <c r="P993" i="7" s="1"/>
  <c r="M1165" i="7"/>
  <c r="L1166" i="7"/>
  <c r="O993" i="7" l="1"/>
  <c r="N993" i="7"/>
  <c r="P994" i="7" s="1"/>
  <c r="L1167" i="7"/>
  <c r="M1166" i="7"/>
  <c r="O994" i="7" l="1"/>
  <c r="N994" i="7"/>
  <c r="P995" i="7" s="1"/>
  <c r="M1167" i="7"/>
  <c r="L1168" i="7"/>
  <c r="O995" i="7" l="1"/>
  <c r="N995" i="7"/>
  <c r="P996" i="7" s="1"/>
  <c r="M1168" i="7"/>
  <c r="L1169" i="7"/>
  <c r="O996" i="7" l="1"/>
  <c r="N996" i="7"/>
  <c r="P997" i="7" s="1"/>
  <c r="L1170" i="7"/>
  <c r="M1169" i="7"/>
  <c r="O997" i="7" l="1"/>
  <c r="N997" i="7"/>
  <c r="P998" i="7" s="1"/>
  <c r="M1170" i="7"/>
  <c r="L1171" i="7"/>
  <c r="O998" i="7" l="1"/>
  <c r="N998" i="7"/>
  <c r="P999" i="7" s="1"/>
  <c r="M1171" i="7"/>
  <c r="L1172" i="7"/>
  <c r="O999" i="7" l="1"/>
  <c r="N999" i="7"/>
  <c r="P1000" i="7" s="1"/>
  <c r="L1173" i="7"/>
  <c r="M1172" i="7"/>
  <c r="O1000" i="7" l="1"/>
  <c r="N1000" i="7"/>
  <c r="P1001" i="7" s="1"/>
  <c r="M1173" i="7"/>
  <c r="L1174" i="7"/>
  <c r="O1001" i="7" l="1"/>
  <c r="N1001" i="7"/>
  <c r="P1002" i="7" s="1"/>
  <c r="L1175" i="7"/>
  <c r="M1174" i="7"/>
  <c r="O1002" i="7" l="1"/>
  <c r="N1002" i="7"/>
  <c r="P1003" i="7" s="1"/>
  <c r="M1175" i="7"/>
  <c r="L1176" i="7"/>
  <c r="O1003" i="7" l="1"/>
  <c r="N1003" i="7"/>
  <c r="P1004" i="7" s="1"/>
  <c r="M1176" i="7"/>
  <c r="L1177" i="7"/>
  <c r="O1004" i="7" l="1"/>
  <c r="N1004" i="7"/>
  <c r="P1005" i="7" s="1"/>
  <c r="L1178" i="7"/>
  <c r="M1177" i="7"/>
  <c r="O1005" i="7" l="1"/>
  <c r="N1005" i="7"/>
  <c r="P1006" i="7" s="1"/>
  <c r="M1178" i="7"/>
  <c r="L1179" i="7"/>
  <c r="O1006" i="7" l="1"/>
  <c r="N1006" i="7"/>
  <c r="P1007" i="7" s="1"/>
  <c r="L1180" i="7"/>
  <c r="M1179" i="7"/>
  <c r="O1007" i="7" l="1"/>
  <c r="N1007" i="7"/>
  <c r="P1008" i="7" s="1"/>
  <c r="L1181" i="7"/>
  <c r="M1180" i="7"/>
  <c r="O1008" i="7" l="1"/>
  <c r="N1008" i="7"/>
  <c r="P1009" i="7" s="1"/>
  <c r="M1181" i="7"/>
  <c r="L1182" i="7"/>
  <c r="O1009" i="7" l="1"/>
  <c r="N1009" i="7"/>
  <c r="P1010" i="7" s="1"/>
  <c r="L1183" i="7"/>
  <c r="M1182" i="7"/>
  <c r="O1010" i="7" l="1"/>
  <c r="N1010" i="7"/>
  <c r="P1011" i="7" s="1"/>
  <c r="L1184" i="7"/>
  <c r="M1183" i="7"/>
  <c r="O1011" i="7" l="1"/>
  <c r="N1011" i="7"/>
  <c r="P1012" i="7" s="1"/>
  <c r="M1184" i="7"/>
  <c r="L1185" i="7"/>
  <c r="O1012" i="7" l="1"/>
  <c r="N1012" i="7"/>
  <c r="P1013" i="7" s="1"/>
  <c r="L1186" i="7"/>
  <c r="M1185" i="7"/>
  <c r="O1013" i="7" l="1"/>
  <c r="N1013" i="7"/>
  <c r="P1014" i="7" s="1"/>
  <c r="M1186" i="7"/>
  <c r="L1187" i="7"/>
  <c r="O1014" i="7" l="1"/>
  <c r="N1014" i="7"/>
  <c r="P1015" i="7" s="1"/>
  <c r="L1188" i="7"/>
  <c r="M1187" i="7"/>
  <c r="O1015" i="7" l="1"/>
  <c r="N1015" i="7"/>
  <c r="P1016" i="7" s="1"/>
  <c r="L1189" i="7"/>
  <c r="M1188" i="7"/>
  <c r="O1016" i="7" l="1"/>
  <c r="N1016" i="7"/>
  <c r="P1017" i="7" s="1"/>
  <c r="M1189" i="7"/>
  <c r="L1190" i="7"/>
  <c r="O1017" i="7" l="1"/>
  <c r="N1017" i="7"/>
  <c r="P1018" i="7" s="1"/>
  <c r="L1191" i="7"/>
  <c r="M1190" i="7"/>
  <c r="O1018" i="7" l="1"/>
  <c r="N1018" i="7"/>
  <c r="P1019" i="7" s="1"/>
  <c r="L1192" i="7"/>
  <c r="M1191" i="7"/>
  <c r="O1019" i="7" l="1"/>
  <c r="N1019" i="7"/>
  <c r="P1020" i="7" s="1"/>
  <c r="M1192" i="7"/>
  <c r="L1193" i="7"/>
  <c r="O1020" i="7" l="1"/>
  <c r="N1020" i="7"/>
  <c r="P1021" i="7" s="1"/>
  <c r="L1194" i="7"/>
  <c r="M1193" i="7"/>
  <c r="O1021" i="7" l="1"/>
  <c r="N1021" i="7"/>
  <c r="P1022" i="7" s="1"/>
  <c r="M1194" i="7"/>
  <c r="L1195" i="7"/>
  <c r="O1022" i="7" l="1"/>
  <c r="N1022" i="7"/>
  <c r="P1023" i="7" s="1"/>
  <c r="L1196" i="7"/>
  <c r="M1195" i="7"/>
  <c r="O1023" i="7" l="1"/>
  <c r="N1023" i="7"/>
  <c r="P1024" i="7" s="1"/>
  <c r="L1197" i="7"/>
  <c r="M1196" i="7"/>
  <c r="O1024" i="7" l="1"/>
  <c r="N1024" i="7"/>
  <c r="P1025" i="7" s="1"/>
  <c r="M1197" i="7"/>
  <c r="L1198" i="7"/>
  <c r="O1025" i="7" l="1"/>
  <c r="N1025" i="7"/>
  <c r="P1026" i="7" s="1"/>
  <c r="L1199" i="7"/>
  <c r="M1198" i="7"/>
  <c r="O1026" i="7" l="1"/>
  <c r="N1026" i="7"/>
  <c r="P1027" i="7" s="1"/>
  <c r="L1200" i="7"/>
  <c r="M1199" i="7"/>
  <c r="O1027" i="7" l="1"/>
  <c r="N1027" i="7"/>
  <c r="P1028" i="7" s="1"/>
  <c r="M1200" i="7"/>
  <c r="L1201" i="7"/>
  <c r="O1028" i="7" l="1"/>
  <c r="N1028" i="7"/>
  <c r="P1029" i="7" s="1"/>
  <c r="L1202" i="7"/>
  <c r="M1201" i="7"/>
  <c r="O1029" i="7" l="1"/>
  <c r="N1029" i="7"/>
  <c r="P1030" i="7" s="1"/>
  <c r="M1202" i="7"/>
  <c r="L1203" i="7"/>
  <c r="O1030" i="7" l="1"/>
  <c r="N1030" i="7"/>
  <c r="P1031" i="7" s="1"/>
  <c r="L1204" i="7"/>
  <c r="M1203" i="7"/>
  <c r="O1031" i="7" l="1"/>
  <c r="N1031" i="7"/>
  <c r="P1032" i="7" s="1"/>
  <c r="L1205" i="7"/>
  <c r="M1204" i="7"/>
  <c r="O1032" i="7" l="1"/>
  <c r="N1032" i="7"/>
  <c r="P1033" i="7" s="1"/>
  <c r="M1205" i="7"/>
  <c r="L1206" i="7"/>
  <c r="O1033" i="7" l="1"/>
  <c r="N1033" i="7"/>
  <c r="P1034" i="7" s="1"/>
  <c r="L1207" i="7"/>
  <c r="M1206" i="7"/>
  <c r="O1034" i="7" l="1"/>
  <c r="N1034" i="7"/>
  <c r="P1035" i="7" s="1"/>
  <c r="L1208" i="7"/>
  <c r="M1207" i="7"/>
  <c r="O1035" i="7" l="1"/>
  <c r="N1035" i="7"/>
  <c r="P1036" i="7" s="1"/>
  <c r="M1208" i="7"/>
  <c r="L1209" i="7"/>
  <c r="O1036" i="7" l="1"/>
  <c r="N1036" i="7"/>
  <c r="P1037" i="7" s="1"/>
  <c r="L1210" i="7"/>
  <c r="M1209" i="7"/>
  <c r="O1037" i="7" l="1"/>
  <c r="N1037" i="7"/>
  <c r="P1038" i="7" s="1"/>
  <c r="M1210" i="7"/>
  <c r="L1211" i="7"/>
  <c r="O1038" i="7" l="1"/>
  <c r="N1038" i="7"/>
  <c r="P1039" i="7" s="1"/>
  <c r="L1212" i="7"/>
  <c r="M1211" i="7"/>
  <c r="O1039" i="7" l="1"/>
  <c r="N1039" i="7"/>
  <c r="P1040" i="7" s="1"/>
  <c r="L1213" i="7"/>
  <c r="M1212" i="7"/>
  <c r="O1040" i="7" l="1"/>
  <c r="N1040" i="7"/>
  <c r="P1041" i="7" s="1"/>
  <c r="M1213" i="7"/>
  <c r="L1214" i="7"/>
  <c r="O1041" i="7" l="1"/>
  <c r="N1041" i="7"/>
  <c r="P1042" i="7" s="1"/>
  <c r="L1215" i="7"/>
  <c r="M1214" i="7"/>
  <c r="O1042" i="7" l="1"/>
  <c r="N1042" i="7"/>
  <c r="P1043" i="7" s="1"/>
  <c r="L1216" i="7"/>
  <c r="M1215" i="7"/>
  <c r="O1043" i="7" l="1"/>
  <c r="N1043" i="7"/>
  <c r="P1044" i="7" s="1"/>
  <c r="M1216" i="7"/>
  <c r="L1217" i="7"/>
  <c r="O1044" i="7" l="1"/>
  <c r="N1044" i="7"/>
  <c r="P1045" i="7" s="1"/>
  <c r="L1218" i="7"/>
  <c r="M1217" i="7"/>
  <c r="O1045" i="7" l="1"/>
  <c r="N1045" i="7"/>
  <c r="P1046" i="7" s="1"/>
  <c r="M1218" i="7"/>
  <c r="L1219" i="7"/>
  <c r="O1046" i="7" l="1"/>
  <c r="N1046" i="7"/>
  <c r="P1047" i="7" s="1"/>
  <c r="L1220" i="7"/>
  <c r="M1219" i="7"/>
  <c r="O1047" i="7" l="1"/>
  <c r="N1047" i="7"/>
  <c r="P1048" i="7" s="1"/>
  <c r="L1221" i="7"/>
  <c r="M1220" i="7"/>
  <c r="O1048" i="7" l="1"/>
  <c r="N1048" i="7"/>
  <c r="P1049" i="7" s="1"/>
  <c r="M1221" i="7"/>
  <c r="L1222" i="7"/>
  <c r="O1049" i="7" l="1"/>
  <c r="N1049" i="7"/>
  <c r="P1050" i="7" s="1"/>
  <c r="L1223" i="7"/>
  <c r="M1222" i="7"/>
  <c r="O1050" i="7" l="1"/>
  <c r="N1050" i="7"/>
  <c r="P1051" i="7" s="1"/>
  <c r="L1224" i="7"/>
  <c r="M1223" i="7"/>
  <c r="O1051" i="7" l="1"/>
  <c r="N1051" i="7"/>
  <c r="P1052" i="7" s="1"/>
  <c r="M1224" i="7"/>
  <c r="L1225" i="7"/>
  <c r="O1052" i="7" l="1"/>
  <c r="N1052" i="7"/>
  <c r="P1053" i="7" s="1"/>
  <c r="L1226" i="7"/>
  <c r="M1225" i="7"/>
  <c r="O1053" i="7" l="1"/>
  <c r="N1053" i="7"/>
  <c r="P1054" i="7" s="1"/>
  <c r="M1226" i="7"/>
  <c r="L1227" i="7"/>
  <c r="O1054" i="7" l="1"/>
  <c r="N1054" i="7"/>
  <c r="P1055" i="7" s="1"/>
  <c r="L1228" i="7"/>
  <c r="M1227" i="7"/>
  <c r="O1055" i="7" l="1"/>
  <c r="N1055" i="7"/>
  <c r="P1056" i="7" s="1"/>
  <c r="L1229" i="7"/>
  <c r="M1228" i="7"/>
  <c r="O1056" i="7" l="1"/>
  <c r="N1056" i="7"/>
  <c r="P1057" i="7" s="1"/>
  <c r="M1229" i="7"/>
  <c r="L1230" i="7"/>
  <c r="O1057" i="7" l="1"/>
  <c r="N1057" i="7"/>
  <c r="P1058" i="7" s="1"/>
  <c r="L1231" i="7"/>
  <c r="M1230" i="7"/>
  <c r="O1058" i="7" l="1"/>
  <c r="N1058" i="7"/>
  <c r="P1059" i="7" s="1"/>
  <c r="M1231" i="7"/>
  <c r="L1232" i="7"/>
  <c r="O1059" i="7" l="1"/>
  <c r="N1059" i="7"/>
  <c r="P1060" i="7" s="1"/>
  <c r="M1232" i="7"/>
  <c r="L1233" i="7"/>
  <c r="O1060" i="7" l="1"/>
  <c r="N1060" i="7"/>
  <c r="P1061" i="7" s="1"/>
  <c r="L1234" i="7"/>
  <c r="M1233" i="7"/>
  <c r="O1061" i="7" l="1"/>
  <c r="N1061" i="7"/>
  <c r="P1062" i="7" s="1"/>
  <c r="M1234" i="7"/>
  <c r="L1235" i="7"/>
  <c r="O1062" i="7" l="1"/>
  <c r="N1062" i="7"/>
  <c r="P1063" i="7" s="1"/>
  <c r="M1235" i="7"/>
  <c r="L1236" i="7"/>
  <c r="O1063" i="7" l="1"/>
  <c r="N1063" i="7"/>
  <c r="P1064" i="7" s="1"/>
  <c r="L1237" i="7"/>
  <c r="M1236" i="7"/>
  <c r="O1064" i="7" l="1"/>
  <c r="N1064" i="7"/>
  <c r="P1065" i="7" s="1"/>
  <c r="M1237" i="7"/>
  <c r="L1238" i="7"/>
  <c r="O1065" i="7" l="1"/>
  <c r="N1065" i="7"/>
  <c r="P1066" i="7" s="1"/>
  <c r="L1239" i="7"/>
  <c r="M1238" i="7"/>
  <c r="O1066" i="7" l="1"/>
  <c r="N1066" i="7"/>
  <c r="P1067" i="7" s="1"/>
  <c r="M1239" i="7"/>
  <c r="L1240" i="7"/>
  <c r="O1067" i="7" l="1"/>
  <c r="N1067" i="7"/>
  <c r="P1068" i="7" s="1"/>
  <c r="M1240" i="7"/>
  <c r="L1241" i="7"/>
  <c r="O1068" i="7" l="1"/>
  <c r="N1068" i="7"/>
  <c r="P1069" i="7" s="1"/>
  <c r="L1242" i="7"/>
  <c r="M1241" i="7"/>
  <c r="O1069" i="7" l="1"/>
  <c r="N1069" i="7"/>
  <c r="P1070" i="7" s="1"/>
  <c r="M1242" i="7"/>
  <c r="L1243" i="7"/>
  <c r="O1070" i="7" l="1"/>
  <c r="N1070" i="7"/>
  <c r="P1071" i="7" s="1"/>
  <c r="L1244" i="7"/>
  <c r="M1243" i="7"/>
  <c r="O1071" i="7" l="1"/>
  <c r="N1071" i="7"/>
  <c r="P1072" i="7" s="1"/>
  <c r="L1245" i="7"/>
  <c r="M1244" i="7"/>
  <c r="O1072" i="7" l="1"/>
  <c r="N1072" i="7"/>
  <c r="P1073" i="7" s="1"/>
  <c r="M1245" i="7"/>
  <c r="L1246" i="7"/>
  <c r="O1073" i="7" l="1"/>
  <c r="N1073" i="7"/>
  <c r="P1074" i="7" s="1"/>
  <c r="L1247" i="7"/>
  <c r="M1246" i="7"/>
  <c r="O1074" i="7" l="1"/>
  <c r="N1074" i="7"/>
  <c r="P1075" i="7" s="1"/>
  <c r="L1248" i="7"/>
  <c r="M1247" i="7"/>
  <c r="O1075" i="7" l="1"/>
  <c r="N1075" i="7"/>
  <c r="P1076" i="7" s="1"/>
  <c r="M1248" i="7"/>
  <c r="L1249" i="7"/>
  <c r="O1076" i="7" l="1"/>
  <c r="N1076" i="7"/>
  <c r="P1077" i="7" s="1"/>
  <c r="L1250" i="7"/>
  <c r="M1249" i="7"/>
  <c r="O1077" i="7" l="1"/>
  <c r="N1077" i="7"/>
  <c r="P1078" i="7" s="1"/>
  <c r="M1250" i="7"/>
  <c r="L1251" i="7"/>
  <c r="O1078" i="7" l="1"/>
  <c r="N1078" i="7"/>
  <c r="P1079" i="7" s="1"/>
  <c r="L1252" i="7"/>
  <c r="M1251" i="7"/>
  <c r="O1079" i="7" l="1"/>
  <c r="N1079" i="7"/>
  <c r="P1080" i="7" s="1"/>
  <c r="L1253" i="7"/>
  <c r="M1252" i="7"/>
  <c r="O1080" i="7" l="1"/>
  <c r="N1080" i="7"/>
  <c r="P1081" i="7" s="1"/>
  <c r="M1253" i="7"/>
  <c r="L1254" i="7"/>
  <c r="O1081" i="7" l="1"/>
  <c r="N1081" i="7"/>
  <c r="P1082" i="7" s="1"/>
  <c r="L1255" i="7"/>
  <c r="M1254" i="7"/>
  <c r="O1082" i="7" l="1"/>
  <c r="N1082" i="7"/>
  <c r="P1083" i="7" s="1"/>
  <c r="L1256" i="7"/>
  <c r="M1255" i="7"/>
  <c r="O1083" i="7" l="1"/>
  <c r="N1083" i="7"/>
  <c r="P1084" i="7" s="1"/>
  <c r="M1256" i="7"/>
  <c r="L1257" i="7"/>
  <c r="O1084" i="7" l="1"/>
  <c r="N1084" i="7"/>
  <c r="P1085" i="7" s="1"/>
  <c r="L1258" i="7"/>
  <c r="M1257" i="7"/>
  <c r="O1085" i="7" l="1"/>
  <c r="N1085" i="7"/>
  <c r="P1086" i="7" s="1"/>
  <c r="M1258" i="7"/>
  <c r="L1259" i="7"/>
  <c r="O1086" i="7" l="1"/>
  <c r="N1086" i="7"/>
  <c r="P1087" i="7" s="1"/>
  <c r="L1260" i="7"/>
  <c r="M1259" i="7"/>
  <c r="O1087" i="7" l="1"/>
  <c r="N1087" i="7"/>
  <c r="P1088" i="7" s="1"/>
  <c r="L1261" i="7"/>
  <c r="M1260" i="7"/>
  <c r="O1088" i="7" l="1"/>
  <c r="N1088" i="7"/>
  <c r="P1089" i="7" s="1"/>
  <c r="M1261" i="7"/>
  <c r="L1262" i="7"/>
  <c r="O1089" i="7" l="1"/>
  <c r="N1089" i="7"/>
  <c r="P1090" i="7" s="1"/>
  <c r="L1263" i="7"/>
  <c r="M1262" i="7"/>
  <c r="O1090" i="7" l="1"/>
  <c r="N1090" i="7"/>
  <c r="P1091" i="7" s="1"/>
  <c r="L1264" i="7"/>
  <c r="M1263" i="7"/>
  <c r="O1091" i="7" l="1"/>
  <c r="N1091" i="7"/>
  <c r="P1092" i="7" s="1"/>
  <c r="M1264" i="7"/>
  <c r="L1265" i="7"/>
  <c r="O1092" i="7" l="1"/>
  <c r="N1092" i="7"/>
  <c r="P1093" i="7" s="1"/>
  <c r="L1266" i="7"/>
  <c r="M1265" i="7"/>
  <c r="O1093" i="7" l="1"/>
  <c r="N1093" i="7"/>
  <c r="P1094" i="7" s="1"/>
  <c r="M1266" i="7"/>
  <c r="L1267" i="7"/>
  <c r="O1094" i="7" l="1"/>
  <c r="N1094" i="7"/>
  <c r="P1095" i="7" s="1"/>
  <c r="L1268" i="7"/>
  <c r="M1267" i="7"/>
  <c r="O1095" i="7" l="1"/>
  <c r="N1095" i="7"/>
  <c r="P1096" i="7" s="1"/>
  <c r="L1269" i="7"/>
  <c r="M1268" i="7"/>
  <c r="O1096" i="7" l="1"/>
  <c r="N1096" i="7"/>
  <c r="P1097" i="7" s="1"/>
  <c r="M1269" i="7"/>
  <c r="L1270" i="7"/>
  <c r="O1097" i="7" l="1"/>
  <c r="N1097" i="7"/>
  <c r="P1098" i="7" s="1"/>
  <c r="L1271" i="7"/>
  <c r="M1270" i="7"/>
  <c r="O1098" i="7" l="1"/>
  <c r="N1098" i="7"/>
  <c r="P1099" i="7" s="1"/>
  <c r="L1272" i="7"/>
  <c r="M1271" i="7"/>
  <c r="O1099" i="7" l="1"/>
  <c r="N1099" i="7"/>
  <c r="P1100" i="7" s="1"/>
  <c r="M1272" i="7"/>
  <c r="L1273" i="7"/>
  <c r="O1100" i="7" l="1"/>
  <c r="N1100" i="7"/>
  <c r="P1101" i="7" s="1"/>
  <c r="L1274" i="7"/>
  <c r="M1273" i="7"/>
  <c r="O1101" i="7" l="1"/>
  <c r="N1101" i="7"/>
  <c r="P1102" i="7" s="1"/>
  <c r="M1274" i="7"/>
  <c r="L1275" i="7"/>
  <c r="O1102" i="7" l="1"/>
  <c r="N1102" i="7"/>
  <c r="P1103" i="7" s="1"/>
  <c r="L1276" i="7"/>
  <c r="M1275" i="7"/>
  <c r="O1103" i="7" l="1"/>
  <c r="N1103" i="7"/>
  <c r="P1104" i="7" s="1"/>
  <c r="L1277" i="7"/>
  <c r="M1276" i="7"/>
  <c r="O1104" i="7" l="1"/>
  <c r="N1104" i="7"/>
  <c r="P1105" i="7" s="1"/>
  <c r="M1277" i="7"/>
  <c r="L1278" i="7"/>
  <c r="O1105" i="7" l="1"/>
  <c r="N1105" i="7"/>
  <c r="P1106" i="7" s="1"/>
  <c r="L1279" i="7"/>
  <c r="M1278" i="7"/>
  <c r="O1106" i="7" l="1"/>
  <c r="N1106" i="7"/>
  <c r="P1107" i="7" s="1"/>
  <c r="L1280" i="7"/>
  <c r="M1279" i="7"/>
  <c r="O1107" i="7" l="1"/>
  <c r="N1107" i="7"/>
  <c r="P1108" i="7" s="1"/>
  <c r="M1280" i="7"/>
  <c r="L1281" i="7"/>
  <c r="O1108" i="7" l="1"/>
  <c r="N1108" i="7"/>
  <c r="P1109" i="7" s="1"/>
  <c r="L1282" i="7"/>
  <c r="M1281" i="7"/>
  <c r="O1109" i="7" l="1"/>
  <c r="N1109" i="7"/>
  <c r="P1110" i="7" s="1"/>
  <c r="M1282" i="7"/>
  <c r="L1283" i="7"/>
  <c r="O1110" i="7" l="1"/>
  <c r="N1110" i="7"/>
  <c r="P1111" i="7" s="1"/>
  <c r="L1284" i="7"/>
  <c r="M1283" i="7"/>
  <c r="O1111" i="7" l="1"/>
  <c r="N1111" i="7"/>
  <c r="P1112" i="7" s="1"/>
  <c r="L1285" i="7"/>
  <c r="M1284" i="7"/>
  <c r="O1112" i="7" l="1"/>
  <c r="N1112" i="7"/>
  <c r="P1113" i="7" s="1"/>
  <c r="M1285" i="7"/>
  <c r="L1286" i="7"/>
  <c r="O1113" i="7" l="1"/>
  <c r="N1113" i="7"/>
  <c r="P1114" i="7" s="1"/>
  <c r="L1287" i="7"/>
  <c r="M1286" i="7"/>
  <c r="O1114" i="7" l="1"/>
  <c r="N1114" i="7"/>
  <c r="P1115" i="7" s="1"/>
  <c r="L1288" i="7"/>
  <c r="M1287" i="7"/>
  <c r="O1115" i="7" l="1"/>
  <c r="N1115" i="7"/>
  <c r="P1116" i="7" s="1"/>
  <c r="M1288" i="7"/>
  <c r="L1289" i="7"/>
  <c r="O1116" i="7" l="1"/>
  <c r="N1116" i="7"/>
  <c r="P1117" i="7" s="1"/>
  <c r="L1290" i="7"/>
  <c r="M1289" i="7"/>
  <c r="O1117" i="7" l="1"/>
  <c r="N1117" i="7"/>
  <c r="P1118" i="7" s="1"/>
  <c r="M1290" i="7"/>
  <c r="L1291" i="7"/>
  <c r="O1118" i="7" l="1"/>
  <c r="N1118" i="7"/>
  <c r="P1119" i="7" s="1"/>
  <c r="L1292" i="7"/>
  <c r="M1291" i="7"/>
  <c r="O1119" i="7" l="1"/>
  <c r="N1119" i="7"/>
  <c r="P1120" i="7" s="1"/>
  <c r="L1293" i="7"/>
  <c r="M1292" i="7"/>
  <c r="O1120" i="7" l="1"/>
  <c r="N1120" i="7"/>
  <c r="P1121" i="7" s="1"/>
  <c r="M1293" i="7"/>
  <c r="L1294" i="7"/>
  <c r="O1121" i="7" l="1"/>
  <c r="N1121" i="7"/>
  <c r="P1122" i="7" s="1"/>
  <c r="L1295" i="7"/>
  <c r="M1294" i="7"/>
  <c r="O1122" i="7" l="1"/>
  <c r="N1122" i="7"/>
  <c r="P1123" i="7" s="1"/>
  <c r="M1295" i="7"/>
  <c r="L1296" i="7"/>
  <c r="O1123" i="7" l="1"/>
  <c r="N1123" i="7"/>
  <c r="P1124" i="7" s="1"/>
  <c r="M1296" i="7"/>
  <c r="L1297" i="7"/>
  <c r="O1124" i="7" l="1"/>
  <c r="N1124" i="7"/>
  <c r="P1125" i="7" s="1"/>
  <c r="L1298" i="7"/>
  <c r="M1297" i="7"/>
  <c r="O1125" i="7" l="1"/>
  <c r="N1125" i="7"/>
  <c r="P1126" i="7" s="1"/>
  <c r="M1298" i="7"/>
  <c r="L1299" i="7"/>
  <c r="O1126" i="7" l="1"/>
  <c r="N1126" i="7"/>
  <c r="P1127" i="7" s="1"/>
  <c r="M1299" i="7"/>
  <c r="L1300" i="7"/>
  <c r="O1127" i="7" l="1"/>
  <c r="N1127" i="7"/>
  <c r="P1128" i="7" s="1"/>
  <c r="L1301" i="7"/>
  <c r="M1300" i="7"/>
  <c r="O1128" i="7" l="1"/>
  <c r="N1128" i="7"/>
  <c r="P1129" i="7" s="1"/>
  <c r="M1301" i="7"/>
  <c r="L1302" i="7"/>
  <c r="O1129" i="7" l="1"/>
  <c r="N1129" i="7"/>
  <c r="P1130" i="7" s="1"/>
  <c r="L1303" i="7"/>
  <c r="M1302" i="7"/>
  <c r="O1130" i="7" l="1"/>
  <c r="N1130" i="7"/>
  <c r="P1131" i="7" s="1"/>
  <c r="M1303" i="7"/>
  <c r="L1304" i="7"/>
  <c r="O1131" i="7" l="1"/>
  <c r="N1131" i="7"/>
  <c r="P1132" i="7" s="1"/>
  <c r="M1304" i="7"/>
  <c r="L1305" i="7"/>
  <c r="O1132" i="7" l="1"/>
  <c r="N1132" i="7"/>
  <c r="P1133" i="7" s="1"/>
  <c r="L1306" i="7"/>
  <c r="M1305" i="7"/>
  <c r="O1133" i="7" l="1"/>
  <c r="N1133" i="7"/>
  <c r="P1134" i="7" s="1"/>
  <c r="M1306" i="7"/>
  <c r="L1307" i="7"/>
  <c r="O1134" i="7" l="1"/>
  <c r="N1134" i="7"/>
  <c r="P1135" i="7" s="1"/>
  <c r="L1308" i="7"/>
  <c r="M1307" i="7"/>
  <c r="O1135" i="7" l="1"/>
  <c r="N1135" i="7"/>
  <c r="P1136" i="7" s="1"/>
  <c r="L1309" i="7"/>
  <c r="M1308" i="7"/>
  <c r="O1136" i="7" l="1"/>
  <c r="N1136" i="7"/>
  <c r="P1137" i="7" s="1"/>
  <c r="M1309" i="7"/>
  <c r="L1310" i="7"/>
  <c r="O1137" i="7" l="1"/>
  <c r="N1137" i="7"/>
  <c r="P1138" i="7" s="1"/>
  <c r="L1311" i="7"/>
  <c r="M1310" i="7"/>
  <c r="O1138" i="7" l="1"/>
  <c r="N1138" i="7"/>
  <c r="P1139" i="7" s="1"/>
  <c r="L1312" i="7"/>
  <c r="M1311" i="7"/>
  <c r="O1139" i="7" l="1"/>
  <c r="N1139" i="7"/>
  <c r="P1140" i="7" s="1"/>
  <c r="M1312" i="7"/>
  <c r="L1313" i="7"/>
  <c r="O1140" i="7" l="1"/>
  <c r="N1140" i="7"/>
  <c r="P1141" i="7" s="1"/>
  <c r="L1314" i="7"/>
  <c r="M1313" i="7"/>
  <c r="O1141" i="7" l="1"/>
  <c r="N1141" i="7"/>
  <c r="P1142" i="7" s="1"/>
  <c r="M1314" i="7"/>
  <c r="L1315" i="7"/>
  <c r="O1142" i="7" l="1"/>
  <c r="N1142" i="7"/>
  <c r="P1143" i="7" s="1"/>
  <c r="L1316" i="7"/>
  <c r="M1315" i="7"/>
  <c r="O1143" i="7" l="1"/>
  <c r="N1143" i="7"/>
  <c r="P1144" i="7" s="1"/>
  <c r="L1317" i="7"/>
  <c r="M1316" i="7"/>
  <c r="O1144" i="7" l="1"/>
  <c r="N1144" i="7"/>
  <c r="P1145" i="7" s="1"/>
  <c r="M1317" i="7"/>
  <c r="L1318" i="7"/>
  <c r="O1145" i="7" l="1"/>
  <c r="N1145" i="7"/>
  <c r="P1146" i="7" s="1"/>
  <c r="L1319" i="7"/>
  <c r="M1318" i="7"/>
  <c r="O1146" i="7" l="1"/>
  <c r="N1146" i="7"/>
  <c r="P1147" i="7" s="1"/>
  <c r="L1320" i="7"/>
  <c r="M1319" i="7"/>
  <c r="O1147" i="7" l="1"/>
  <c r="N1147" i="7"/>
  <c r="P1148" i="7" s="1"/>
  <c r="M1320" i="7"/>
  <c r="L1321" i="7"/>
  <c r="O1148" i="7" l="1"/>
  <c r="N1148" i="7"/>
  <c r="P1149" i="7" s="1"/>
  <c r="L1322" i="7"/>
  <c r="M1321" i="7"/>
  <c r="O1149" i="7" l="1"/>
  <c r="N1149" i="7"/>
  <c r="P1150" i="7" s="1"/>
  <c r="M1322" i="7"/>
  <c r="L1323" i="7"/>
  <c r="O1150" i="7" l="1"/>
  <c r="N1150" i="7"/>
  <c r="P1151" i="7" s="1"/>
  <c r="L1324" i="7"/>
  <c r="M1323" i="7"/>
  <c r="O1151" i="7" l="1"/>
  <c r="N1151" i="7"/>
  <c r="P1152" i="7" s="1"/>
  <c r="L1325" i="7"/>
  <c r="M1324" i="7"/>
  <c r="O1152" i="7" l="1"/>
  <c r="N1152" i="7"/>
  <c r="P1153" i="7" s="1"/>
  <c r="M1325" i="7"/>
  <c r="L1326" i="7"/>
  <c r="O1153" i="7" l="1"/>
  <c r="N1153" i="7"/>
  <c r="P1154" i="7" s="1"/>
  <c r="L1327" i="7"/>
  <c r="M1326" i="7"/>
  <c r="O1154" i="7" l="1"/>
  <c r="N1154" i="7"/>
  <c r="P1155" i="7" s="1"/>
  <c r="L1328" i="7"/>
  <c r="M1327" i="7"/>
  <c r="O1155" i="7" l="1"/>
  <c r="N1155" i="7"/>
  <c r="P1156" i="7" s="1"/>
  <c r="M1328" i="7"/>
  <c r="L1329" i="7"/>
  <c r="O1156" i="7" l="1"/>
  <c r="N1156" i="7"/>
  <c r="P1157" i="7" s="1"/>
  <c r="L1330" i="7"/>
  <c r="M1329" i="7"/>
  <c r="O1157" i="7" l="1"/>
  <c r="N1157" i="7"/>
  <c r="P1158" i="7" s="1"/>
  <c r="M1330" i="7"/>
  <c r="L1331" i="7"/>
  <c r="O1158" i="7" l="1"/>
  <c r="N1158" i="7"/>
  <c r="P1159" i="7" s="1"/>
  <c r="L1332" i="7"/>
  <c r="M1331" i="7"/>
  <c r="O1159" i="7" l="1"/>
  <c r="N1159" i="7"/>
  <c r="P1160" i="7" s="1"/>
  <c r="L1333" i="7"/>
  <c r="M1332" i="7"/>
  <c r="O1160" i="7" l="1"/>
  <c r="N1160" i="7"/>
  <c r="P1161" i="7" s="1"/>
  <c r="M1333" i="7"/>
  <c r="L1334" i="7"/>
  <c r="O1161" i="7" l="1"/>
  <c r="N1161" i="7"/>
  <c r="P1162" i="7" s="1"/>
  <c r="M1334" i="7"/>
  <c r="L1335" i="7"/>
  <c r="O1162" i="7" l="1"/>
  <c r="N1162" i="7"/>
  <c r="P1163" i="7" s="1"/>
  <c r="M1335" i="7"/>
  <c r="L1336" i="7"/>
  <c r="O1163" i="7" l="1"/>
  <c r="N1163" i="7"/>
  <c r="P1164" i="7" s="1"/>
  <c r="L1337" i="7"/>
  <c r="M1336" i="7"/>
  <c r="O1164" i="7" l="1"/>
  <c r="N1164" i="7"/>
  <c r="P1165" i="7" s="1"/>
  <c r="M1337" i="7"/>
  <c r="L1338" i="7"/>
  <c r="O1165" i="7" l="1"/>
  <c r="N1165" i="7"/>
  <c r="P1166" i="7" s="1"/>
  <c r="L1339" i="7"/>
  <c r="M1338" i="7"/>
  <c r="O1166" i="7" l="1"/>
  <c r="N1166" i="7"/>
  <c r="P1167" i="7" s="1"/>
  <c r="L1340" i="7"/>
  <c r="M1339" i="7"/>
  <c r="O1167" i="7" l="1"/>
  <c r="N1167" i="7"/>
  <c r="P1168" i="7" s="1"/>
  <c r="M1340" i="7"/>
  <c r="L1341" i="7"/>
  <c r="O1168" i="7" l="1"/>
  <c r="N1168" i="7"/>
  <c r="P1169" i="7" s="1"/>
  <c r="L1342" i="7"/>
  <c r="M1341" i="7"/>
  <c r="O1169" i="7" l="1"/>
  <c r="N1169" i="7"/>
  <c r="P1170" i="7" s="1"/>
  <c r="L1343" i="7"/>
  <c r="M1342" i="7"/>
  <c r="O1170" i="7" l="1"/>
  <c r="N1170" i="7"/>
  <c r="P1171" i="7" s="1"/>
  <c r="M1343" i="7"/>
  <c r="L1344" i="7"/>
  <c r="O1171" i="7" l="1"/>
  <c r="N1171" i="7"/>
  <c r="P1172" i="7" s="1"/>
  <c r="L1345" i="7"/>
  <c r="M1344" i="7"/>
  <c r="O1172" i="7" l="1"/>
  <c r="N1172" i="7"/>
  <c r="P1173" i="7" s="1"/>
  <c r="M1345" i="7"/>
  <c r="L1346" i="7"/>
  <c r="O1173" i="7" l="1"/>
  <c r="N1173" i="7"/>
  <c r="P1174" i="7" s="1"/>
  <c r="L1347" i="7"/>
  <c r="M1346" i="7"/>
  <c r="O1174" i="7" l="1"/>
  <c r="N1174" i="7"/>
  <c r="P1175" i="7" s="1"/>
  <c r="L1348" i="7"/>
  <c r="M1347" i="7"/>
  <c r="O1175" i="7" l="1"/>
  <c r="N1175" i="7"/>
  <c r="P1176" i="7" s="1"/>
  <c r="M1348" i="7"/>
  <c r="L1349" i="7"/>
  <c r="O1176" i="7" l="1"/>
  <c r="N1176" i="7"/>
  <c r="P1177" i="7" s="1"/>
  <c r="L1350" i="7"/>
  <c r="M1349" i="7"/>
  <c r="O1177" i="7" l="1"/>
  <c r="N1177" i="7"/>
  <c r="P1178" i="7" s="1"/>
  <c r="L1351" i="7"/>
  <c r="M1350" i="7"/>
  <c r="O1178" i="7" l="1"/>
  <c r="N1178" i="7"/>
  <c r="P1179" i="7" s="1"/>
  <c r="M1351" i="7"/>
  <c r="L1352" i="7"/>
  <c r="O1179" i="7" l="1"/>
  <c r="N1179" i="7"/>
  <c r="P1180" i="7" s="1"/>
  <c r="L1353" i="7"/>
  <c r="M1352" i="7"/>
  <c r="O1180" i="7" l="1"/>
  <c r="N1180" i="7"/>
  <c r="P1181" i="7" s="1"/>
  <c r="M1353" i="7"/>
  <c r="L1354" i="7"/>
  <c r="O1181" i="7" l="1"/>
  <c r="N1181" i="7"/>
  <c r="P1182" i="7" s="1"/>
  <c r="L1355" i="7"/>
  <c r="M1354" i="7"/>
  <c r="O1182" i="7" l="1"/>
  <c r="N1182" i="7"/>
  <c r="P1183" i="7" s="1"/>
  <c r="L1356" i="7"/>
  <c r="M1355" i="7"/>
  <c r="O1183" i="7" l="1"/>
  <c r="N1183" i="7"/>
  <c r="P1184" i="7" s="1"/>
  <c r="M1356" i="7"/>
  <c r="L1357" i="7"/>
  <c r="O1184" i="7" l="1"/>
  <c r="N1184" i="7"/>
  <c r="P1185" i="7" s="1"/>
  <c r="L1358" i="7"/>
  <c r="M1357" i="7"/>
  <c r="O1185" i="7" l="1"/>
  <c r="N1185" i="7"/>
  <c r="P1186" i="7" s="1"/>
  <c r="M1358" i="7"/>
  <c r="L1359" i="7"/>
  <c r="O1186" i="7" l="1"/>
  <c r="N1186" i="7"/>
  <c r="P1187" i="7" s="1"/>
  <c r="M1359" i="7"/>
  <c r="L1360" i="7"/>
  <c r="O1187" i="7" l="1"/>
  <c r="N1187" i="7"/>
  <c r="P1188" i="7" s="1"/>
  <c r="L1361" i="7"/>
  <c r="M1360" i="7"/>
  <c r="O1188" i="7" l="1"/>
  <c r="N1188" i="7"/>
  <c r="P1189" i="7" s="1"/>
  <c r="M1361" i="7"/>
  <c r="L1362" i="7"/>
  <c r="O1189" i="7" l="1"/>
  <c r="N1189" i="7"/>
  <c r="P1190" i="7" s="1"/>
  <c r="M1362" i="7"/>
  <c r="L1363" i="7"/>
  <c r="O1190" i="7" l="1"/>
  <c r="N1190" i="7"/>
  <c r="P1191" i="7" s="1"/>
  <c r="L1364" i="7"/>
  <c r="M1363" i="7"/>
  <c r="O1191" i="7" l="1"/>
  <c r="N1191" i="7"/>
  <c r="P1192" i="7" s="1"/>
  <c r="M1364" i="7"/>
  <c r="L1365" i="7"/>
  <c r="O1192" i="7" l="1"/>
  <c r="N1192" i="7"/>
  <c r="P1193" i="7" s="1"/>
  <c r="L1366" i="7"/>
  <c r="M1365" i="7"/>
  <c r="O1193" i="7" l="1"/>
  <c r="N1193" i="7"/>
  <c r="P1194" i="7" s="1"/>
  <c r="M1366" i="7"/>
  <c r="L1367" i="7"/>
  <c r="O1194" i="7" l="1"/>
  <c r="N1194" i="7"/>
  <c r="P1195" i="7" s="1"/>
  <c r="M1367" i="7"/>
  <c r="L1368" i="7"/>
  <c r="O1195" i="7" l="1"/>
  <c r="N1195" i="7"/>
  <c r="P1196" i="7" s="1"/>
  <c r="L1369" i="7"/>
  <c r="M1368" i="7"/>
  <c r="O1196" i="7" l="1"/>
  <c r="N1196" i="7"/>
  <c r="P1197" i="7" s="1"/>
  <c r="M1369" i="7"/>
  <c r="L1370" i="7"/>
  <c r="O1197" i="7" l="1"/>
  <c r="N1197" i="7"/>
  <c r="P1198" i="7" s="1"/>
  <c r="L1371" i="7"/>
  <c r="M1370" i="7"/>
  <c r="O1198" i="7" l="1"/>
  <c r="N1198" i="7"/>
  <c r="P1199" i="7" s="1"/>
  <c r="L1372" i="7"/>
  <c r="M1371" i="7"/>
  <c r="O1199" i="7" l="1"/>
  <c r="N1199" i="7"/>
  <c r="P1200" i="7" s="1"/>
  <c r="M1372" i="7"/>
  <c r="L1373" i="7"/>
  <c r="O1200" i="7" l="1"/>
  <c r="N1200" i="7"/>
  <c r="P1201" i="7" s="1"/>
  <c r="L1374" i="7"/>
  <c r="M1373" i="7"/>
  <c r="O1201" i="7" l="1"/>
  <c r="N1201" i="7"/>
  <c r="P1202" i="7" s="1"/>
  <c r="L1375" i="7"/>
  <c r="M1374" i="7"/>
  <c r="O1202" i="7" l="1"/>
  <c r="N1202" i="7"/>
  <c r="P1203" i="7" s="1"/>
  <c r="M1375" i="7"/>
  <c r="L1376" i="7"/>
  <c r="O1203" i="7" l="1"/>
  <c r="N1203" i="7"/>
  <c r="P1204" i="7" s="1"/>
  <c r="L1377" i="7"/>
  <c r="M1376" i="7"/>
  <c r="O1204" i="7" l="1"/>
  <c r="N1204" i="7"/>
  <c r="P1205" i="7" s="1"/>
  <c r="M1377" i="7"/>
  <c r="L1378" i="7"/>
  <c r="O1205" i="7" l="1"/>
  <c r="N1205" i="7"/>
  <c r="P1206" i="7" s="1"/>
  <c r="L1379" i="7"/>
  <c r="M1378" i="7"/>
  <c r="O1206" i="7" l="1"/>
  <c r="N1206" i="7"/>
  <c r="P1207" i="7" s="1"/>
  <c r="L1380" i="7"/>
  <c r="M1379" i="7"/>
  <c r="O1207" i="7" l="1"/>
  <c r="N1207" i="7"/>
  <c r="P1208" i="7" s="1"/>
  <c r="M1380" i="7"/>
  <c r="L1381" i="7"/>
  <c r="O1208" i="7" l="1"/>
  <c r="N1208" i="7"/>
  <c r="P1209" i="7" s="1"/>
  <c r="L1382" i="7"/>
  <c r="M1381" i="7"/>
  <c r="O1209" i="7" l="1"/>
  <c r="N1209" i="7"/>
  <c r="P1210" i="7" s="1"/>
  <c r="L1383" i="7"/>
  <c r="M1382" i="7"/>
  <c r="O1210" i="7" l="1"/>
  <c r="N1210" i="7"/>
  <c r="P1211" i="7" s="1"/>
  <c r="M1383" i="7"/>
  <c r="L1384" i="7"/>
  <c r="O1211" i="7" l="1"/>
  <c r="N1211" i="7"/>
  <c r="P1212" i="7" s="1"/>
  <c r="L1385" i="7"/>
  <c r="M1384" i="7"/>
  <c r="O1212" i="7" l="1"/>
  <c r="N1212" i="7"/>
  <c r="P1213" i="7" s="1"/>
  <c r="M1385" i="7"/>
  <c r="L1386" i="7"/>
  <c r="O1213" i="7" l="1"/>
  <c r="N1213" i="7"/>
  <c r="P1214" i="7" s="1"/>
  <c r="L1387" i="7"/>
  <c r="M1386" i="7"/>
  <c r="O1214" i="7" l="1"/>
  <c r="N1214" i="7"/>
  <c r="P1215" i="7" s="1"/>
  <c r="L1388" i="7"/>
  <c r="M1387" i="7"/>
  <c r="O1215" i="7" l="1"/>
  <c r="N1215" i="7"/>
  <c r="P1216" i="7" s="1"/>
  <c r="M1388" i="7"/>
  <c r="L1389" i="7"/>
  <c r="O1216" i="7" l="1"/>
  <c r="N1216" i="7"/>
  <c r="P1217" i="7" s="1"/>
  <c r="L1390" i="7"/>
  <c r="M1389" i="7"/>
  <c r="O1217" i="7" l="1"/>
  <c r="N1217" i="7"/>
  <c r="P1218" i="7" s="1"/>
  <c r="L1391" i="7"/>
  <c r="M1390" i="7"/>
  <c r="O1218" i="7" l="1"/>
  <c r="N1218" i="7"/>
  <c r="P1219" i="7" s="1"/>
  <c r="M1391" i="7"/>
  <c r="L1392" i="7"/>
  <c r="O1219" i="7" l="1"/>
  <c r="N1219" i="7"/>
  <c r="P1220" i="7" s="1"/>
  <c r="L1393" i="7"/>
  <c r="M1392" i="7"/>
  <c r="O1220" i="7" l="1"/>
  <c r="N1220" i="7"/>
  <c r="P1221" i="7" s="1"/>
  <c r="M1393" i="7"/>
  <c r="L1394" i="7"/>
  <c r="O1221" i="7" l="1"/>
  <c r="N1221" i="7"/>
  <c r="P1222" i="7" s="1"/>
  <c r="M1394" i="7"/>
  <c r="L1395" i="7"/>
  <c r="O1222" i="7" l="1"/>
  <c r="N1222" i="7"/>
  <c r="P1223" i="7" s="1"/>
  <c r="L1396" i="7"/>
  <c r="M1395" i="7"/>
  <c r="O1223" i="7" l="1"/>
  <c r="N1223" i="7"/>
  <c r="P1224" i="7" s="1"/>
  <c r="M1396" i="7"/>
  <c r="L1397" i="7"/>
  <c r="O1224" i="7" l="1"/>
  <c r="N1224" i="7"/>
  <c r="P1225" i="7" s="1"/>
  <c r="L1398" i="7"/>
  <c r="M1397" i="7"/>
  <c r="O1225" i="7" l="1"/>
  <c r="N1225" i="7"/>
  <c r="P1226" i="7" s="1"/>
  <c r="M1398" i="7"/>
  <c r="L1399" i="7"/>
  <c r="O1226" i="7" l="1"/>
  <c r="N1226" i="7"/>
  <c r="P1227" i="7" s="1"/>
  <c r="M1399" i="7"/>
  <c r="L1400" i="7"/>
  <c r="O1227" i="7" l="1"/>
  <c r="N1227" i="7"/>
  <c r="P1228" i="7" s="1"/>
  <c r="L1401" i="7"/>
  <c r="M1400" i="7"/>
  <c r="O1228" i="7" l="1"/>
  <c r="N1228" i="7"/>
  <c r="P1229" i="7" s="1"/>
  <c r="M1401" i="7"/>
  <c r="L1402" i="7"/>
  <c r="O1229" i="7" l="1"/>
  <c r="N1229" i="7"/>
  <c r="P1230" i="7" s="1"/>
  <c r="L1403" i="7"/>
  <c r="M1402" i="7"/>
  <c r="O1230" i="7" l="1"/>
  <c r="N1230" i="7"/>
  <c r="P1231" i="7" s="1"/>
  <c r="L1404" i="7"/>
  <c r="M1403" i="7"/>
  <c r="O1231" i="7" l="1"/>
  <c r="N1231" i="7"/>
  <c r="P1232" i="7" s="1"/>
  <c r="M1404" i="7"/>
  <c r="L1405" i="7"/>
  <c r="O1232" i="7" l="1"/>
  <c r="N1232" i="7"/>
  <c r="P1233" i="7" s="1"/>
  <c r="L1406" i="7"/>
  <c r="M1405" i="7"/>
  <c r="O1233" i="7" l="1"/>
  <c r="N1233" i="7"/>
  <c r="P1234" i="7" s="1"/>
  <c r="L1407" i="7"/>
  <c r="M1406" i="7"/>
  <c r="O1234" i="7" l="1"/>
  <c r="N1234" i="7"/>
  <c r="P1235" i="7" s="1"/>
  <c r="M1407" i="7"/>
  <c r="L1408" i="7"/>
  <c r="O1235" i="7" l="1"/>
  <c r="N1235" i="7"/>
  <c r="P1236" i="7" s="1"/>
  <c r="L1409" i="7"/>
  <c r="M1408" i="7"/>
  <c r="O1236" i="7" l="1"/>
  <c r="N1236" i="7"/>
  <c r="P1237" i="7" s="1"/>
  <c r="M1409" i="7"/>
  <c r="L1410" i="7"/>
  <c r="O1237" i="7" l="1"/>
  <c r="N1237" i="7"/>
  <c r="P1238" i="7" s="1"/>
  <c r="L1411" i="7"/>
  <c r="M1410" i="7"/>
  <c r="O1238" i="7" l="1"/>
  <c r="N1238" i="7"/>
  <c r="P1239" i="7" s="1"/>
  <c r="L1412" i="7"/>
  <c r="M1411" i="7"/>
  <c r="O1239" i="7" l="1"/>
  <c r="N1239" i="7"/>
  <c r="P1240" i="7" s="1"/>
  <c r="M1412" i="7"/>
  <c r="L1413" i="7"/>
  <c r="O1240" i="7" l="1"/>
  <c r="N1240" i="7"/>
  <c r="P1241" i="7" s="1"/>
  <c r="L1414" i="7"/>
  <c r="M1413" i="7"/>
  <c r="O1241" i="7" l="1"/>
  <c r="N1241" i="7"/>
  <c r="P1242" i="7" s="1"/>
  <c r="L1415" i="7"/>
  <c r="M1414" i="7"/>
  <c r="O1242" i="7" l="1"/>
  <c r="N1242" i="7"/>
  <c r="P1243" i="7" s="1"/>
  <c r="M1415" i="7"/>
  <c r="L1416" i="7"/>
  <c r="O1243" i="7" l="1"/>
  <c r="N1243" i="7"/>
  <c r="P1244" i="7" s="1"/>
  <c r="L1417" i="7"/>
  <c r="M1416" i="7"/>
  <c r="O1244" i="7" l="1"/>
  <c r="N1244" i="7"/>
  <c r="P1245" i="7" s="1"/>
  <c r="M1417" i="7"/>
  <c r="L1418" i="7"/>
  <c r="O1245" i="7" l="1"/>
  <c r="N1245" i="7"/>
  <c r="P1246" i="7" s="1"/>
  <c r="L1419" i="7"/>
  <c r="M1418" i="7"/>
  <c r="O1246" i="7" l="1"/>
  <c r="N1246" i="7"/>
  <c r="P1247" i="7" s="1"/>
  <c r="L1420" i="7"/>
  <c r="M1419" i="7"/>
  <c r="O1247" i="7" l="1"/>
  <c r="N1247" i="7"/>
  <c r="P1248" i="7" s="1"/>
  <c r="M1420" i="7"/>
  <c r="L1421" i="7"/>
  <c r="O1248" i="7" l="1"/>
  <c r="N1248" i="7"/>
  <c r="P1249" i="7" s="1"/>
  <c r="L1422" i="7"/>
  <c r="M1421" i="7"/>
  <c r="O1249" i="7" l="1"/>
  <c r="N1249" i="7"/>
  <c r="P1250" i="7" s="1"/>
  <c r="M1422" i="7"/>
  <c r="L1423" i="7"/>
  <c r="O1250" i="7" l="1"/>
  <c r="N1250" i="7"/>
  <c r="P1251" i="7" s="1"/>
  <c r="M1423" i="7"/>
  <c r="L1424" i="7"/>
  <c r="O1251" i="7" l="1"/>
  <c r="N1251" i="7"/>
  <c r="P1252" i="7" s="1"/>
  <c r="L1425" i="7"/>
  <c r="M1424" i="7"/>
  <c r="O1252" i="7" l="1"/>
  <c r="N1252" i="7"/>
  <c r="P1253" i="7" s="1"/>
  <c r="M1425" i="7"/>
  <c r="L1426" i="7"/>
  <c r="O1253" i="7" l="1"/>
  <c r="N1253" i="7"/>
  <c r="P1254" i="7" s="1"/>
  <c r="M1426" i="7"/>
  <c r="L1427" i="7"/>
  <c r="O1254" i="7" l="1"/>
  <c r="N1254" i="7"/>
  <c r="P1255" i="7" s="1"/>
  <c r="L1428" i="7"/>
  <c r="M1427" i="7"/>
  <c r="O1255" i="7" l="1"/>
  <c r="N1255" i="7"/>
  <c r="P1256" i="7" s="1"/>
  <c r="M1428" i="7"/>
  <c r="L1429" i="7"/>
  <c r="O1256" i="7" l="1"/>
  <c r="N1256" i="7"/>
  <c r="P1257" i="7" s="1"/>
  <c r="L1430" i="7"/>
  <c r="M1429" i="7"/>
  <c r="O1257" i="7" l="1"/>
  <c r="N1257" i="7"/>
  <c r="P1258" i="7" s="1"/>
  <c r="M1430" i="7"/>
  <c r="L1431" i="7"/>
  <c r="O1258" i="7" l="1"/>
  <c r="N1258" i="7"/>
  <c r="P1259" i="7" s="1"/>
  <c r="M1431" i="7"/>
  <c r="L1432" i="7"/>
  <c r="O1259" i="7" l="1"/>
  <c r="N1259" i="7"/>
  <c r="P1260" i="7" s="1"/>
  <c r="L1433" i="7"/>
  <c r="M1432" i="7"/>
  <c r="O1260" i="7" l="1"/>
  <c r="N1260" i="7"/>
  <c r="P1261" i="7" s="1"/>
  <c r="M1433" i="7"/>
  <c r="L1434" i="7"/>
  <c r="O1261" i="7" l="1"/>
  <c r="N1261" i="7"/>
  <c r="P1262" i="7" s="1"/>
  <c r="L1435" i="7"/>
  <c r="M1434" i="7"/>
  <c r="O1262" i="7" l="1"/>
  <c r="N1262" i="7"/>
  <c r="P1263" i="7" s="1"/>
  <c r="L1436" i="7"/>
  <c r="M1435" i="7"/>
  <c r="O1263" i="7" l="1"/>
  <c r="N1263" i="7"/>
  <c r="P1264" i="7" s="1"/>
  <c r="M1436" i="7"/>
  <c r="L1437" i="7"/>
  <c r="O1264" i="7" l="1"/>
  <c r="N1264" i="7"/>
  <c r="P1265" i="7" s="1"/>
  <c r="L1438" i="7"/>
  <c r="M1437" i="7"/>
  <c r="O1265" i="7" l="1"/>
  <c r="N1265" i="7"/>
  <c r="P1266" i="7" s="1"/>
  <c r="L1439" i="7"/>
  <c r="M1438" i="7"/>
  <c r="O1266" i="7" l="1"/>
  <c r="N1266" i="7"/>
  <c r="P1267" i="7" s="1"/>
  <c r="M1439" i="7"/>
  <c r="L1440" i="7"/>
  <c r="O1267" i="7" l="1"/>
  <c r="N1267" i="7"/>
  <c r="P1268" i="7" s="1"/>
  <c r="M1440" i="7"/>
  <c r="L1441" i="7"/>
  <c r="O1268" i="7" l="1"/>
  <c r="N1268" i="7"/>
  <c r="P1269" i="7" s="1"/>
  <c r="M1441" i="7"/>
  <c r="L1442" i="7"/>
  <c r="O1269" i="7" l="1"/>
  <c r="N1269" i="7"/>
  <c r="P1270" i="7" s="1"/>
  <c r="L1443" i="7"/>
  <c r="M1442" i="7"/>
  <c r="O1270" i="7" l="1"/>
  <c r="N1270" i="7"/>
  <c r="P1271" i="7" s="1"/>
  <c r="L1444" i="7"/>
  <c r="M1443" i="7"/>
  <c r="O1271" i="7" l="1"/>
  <c r="N1271" i="7"/>
  <c r="P1272" i="7" s="1"/>
  <c r="L1445" i="7"/>
  <c r="M1444" i="7"/>
  <c r="O1272" i="7" l="1"/>
  <c r="N1272" i="7"/>
  <c r="P1273" i="7" s="1"/>
  <c r="L1446" i="7"/>
  <c r="M1445" i="7"/>
  <c r="O1273" i="7" l="1"/>
  <c r="N1273" i="7"/>
  <c r="P1274" i="7" s="1"/>
  <c r="M1446" i="7"/>
  <c r="L1447" i="7"/>
  <c r="O1274" i="7" l="1"/>
  <c r="N1274" i="7"/>
  <c r="P1275" i="7" s="1"/>
  <c r="L1448" i="7"/>
  <c r="M1447" i="7"/>
  <c r="O1275" i="7" l="1"/>
  <c r="N1275" i="7"/>
  <c r="P1276" i="7" s="1"/>
  <c r="M1448" i="7"/>
  <c r="L1449" i="7"/>
  <c r="O1276" i="7" l="1"/>
  <c r="N1276" i="7"/>
  <c r="P1277" i="7" s="1"/>
  <c r="L1450" i="7"/>
  <c r="M1449" i="7"/>
  <c r="O1277" i="7" l="1"/>
  <c r="N1277" i="7"/>
  <c r="P1278" i="7" s="1"/>
  <c r="L1451" i="7"/>
  <c r="M1450" i="7"/>
  <c r="O1278" i="7" l="1"/>
  <c r="N1278" i="7"/>
  <c r="P1279" i="7" s="1"/>
  <c r="L1452" i="7"/>
  <c r="M1451" i="7"/>
  <c r="O1279" i="7" l="1"/>
  <c r="N1279" i="7"/>
  <c r="P1280" i="7" s="1"/>
  <c r="L1453" i="7"/>
  <c r="M1452" i="7"/>
  <c r="O1280" i="7" l="1"/>
  <c r="N1280" i="7"/>
  <c r="P1281" i="7" s="1"/>
  <c r="M1453" i="7"/>
  <c r="L1454" i="7"/>
  <c r="O1281" i="7" l="1"/>
  <c r="N1281" i="7"/>
  <c r="P1282" i="7" s="1"/>
  <c r="L1455" i="7"/>
  <c r="M1454" i="7"/>
  <c r="O1282" i="7" l="1"/>
  <c r="N1282" i="7"/>
  <c r="P1283" i="7" s="1"/>
  <c r="L1456" i="7"/>
  <c r="M1455" i="7"/>
  <c r="O1283" i="7" l="1"/>
  <c r="N1283" i="7"/>
  <c r="P1284" i="7" s="1"/>
  <c r="M1456" i="7"/>
  <c r="L1457" i="7"/>
  <c r="O1284" i="7" l="1"/>
  <c r="N1284" i="7"/>
  <c r="P1285" i="7" s="1"/>
  <c r="L1458" i="7"/>
  <c r="M1457" i="7"/>
  <c r="O1285" i="7" l="1"/>
  <c r="N1285" i="7"/>
  <c r="P1286" i="7" s="1"/>
  <c r="M1458" i="7"/>
  <c r="L1459" i="7"/>
  <c r="O1286" i="7" l="1"/>
  <c r="N1286" i="7"/>
  <c r="P1287" i="7" s="1"/>
  <c r="L1460" i="7"/>
  <c r="M1459" i="7"/>
  <c r="O1287" i="7" l="1"/>
  <c r="N1287" i="7"/>
  <c r="P1288" i="7" s="1"/>
  <c r="L1461" i="7"/>
  <c r="M1460" i="7"/>
  <c r="O1288" i="7" l="1"/>
  <c r="N1288" i="7"/>
  <c r="P1289" i="7" s="1"/>
  <c r="M1461" i="7"/>
  <c r="L1462" i="7"/>
  <c r="O1289" i="7" l="1"/>
  <c r="N1289" i="7"/>
  <c r="P1290" i="7" s="1"/>
  <c r="M1462" i="7"/>
  <c r="L1463" i="7"/>
  <c r="O1290" i="7" l="1"/>
  <c r="N1290" i="7"/>
  <c r="P1291" i="7" s="1"/>
  <c r="M1463" i="7"/>
  <c r="L1464" i="7"/>
  <c r="O1291" i="7" l="1"/>
  <c r="N1291" i="7"/>
  <c r="P1292" i="7" s="1"/>
  <c r="M1464" i="7"/>
  <c r="L1465" i="7"/>
  <c r="O1292" i="7" l="1"/>
  <c r="N1292" i="7"/>
  <c r="P1293" i="7" s="1"/>
  <c r="L1466" i="7"/>
  <c r="M1465" i="7"/>
  <c r="O1293" i="7" l="1"/>
  <c r="N1293" i="7"/>
  <c r="P1294" i="7" s="1"/>
  <c r="M1466" i="7"/>
  <c r="L1467" i="7"/>
  <c r="O1294" i="7" l="1"/>
  <c r="N1294" i="7"/>
  <c r="P1295" i="7" s="1"/>
  <c r="M1467" i="7"/>
  <c r="L1468" i="7"/>
  <c r="O1295" i="7" l="1"/>
  <c r="N1295" i="7"/>
  <c r="P1296" i="7" s="1"/>
  <c r="L1469" i="7"/>
  <c r="M1468" i="7"/>
  <c r="O1296" i="7" l="1"/>
  <c r="N1296" i="7"/>
  <c r="P1297" i="7" s="1"/>
  <c r="M1469" i="7"/>
  <c r="L1470" i="7"/>
  <c r="O1297" i="7" l="1"/>
  <c r="N1297" i="7"/>
  <c r="P1298" i="7" s="1"/>
  <c r="L1471" i="7"/>
  <c r="M1470" i="7"/>
  <c r="O1298" i="7" l="1"/>
  <c r="N1298" i="7"/>
  <c r="P1299" i="7" s="1"/>
  <c r="M1471" i="7"/>
  <c r="L1472" i="7"/>
  <c r="O1299" i="7" l="1"/>
  <c r="N1299" i="7"/>
  <c r="P1300" i="7" s="1"/>
  <c r="M1472" i="7"/>
  <c r="L1473" i="7"/>
  <c r="O1300" i="7" l="1"/>
  <c r="N1300" i="7"/>
  <c r="P1301" i="7" s="1"/>
  <c r="L1474" i="7"/>
  <c r="M1473" i="7"/>
  <c r="O1301" i="7" l="1"/>
  <c r="N1301" i="7"/>
  <c r="P1302" i="7" s="1"/>
  <c r="M1474" i="7"/>
  <c r="L1475" i="7"/>
  <c r="O1302" i="7" l="1"/>
  <c r="N1302" i="7"/>
  <c r="P1303" i="7" s="1"/>
  <c r="L1476" i="7"/>
  <c r="M1475" i="7"/>
  <c r="O1303" i="7" l="1"/>
  <c r="N1303" i="7"/>
  <c r="P1304" i="7" s="1"/>
  <c r="L1477" i="7"/>
  <c r="M1476" i="7"/>
  <c r="O1304" i="7" l="1"/>
  <c r="N1304" i="7"/>
  <c r="P1305" i="7" s="1"/>
  <c r="M1477" i="7"/>
  <c r="L1478" i="7"/>
  <c r="O1305" i="7" l="1"/>
  <c r="N1305" i="7"/>
  <c r="P1306" i="7" s="1"/>
  <c r="L1479" i="7"/>
  <c r="M1478" i="7"/>
  <c r="O1306" i="7" l="1"/>
  <c r="N1306" i="7"/>
  <c r="P1307" i="7" s="1"/>
  <c r="M1479" i="7"/>
  <c r="L1480" i="7"/>
  <c r="O1307" i="7" l="1"/>
  <c r="N1307" i="7"/>
  <c r="P1308" i="7" s="1"/>
  <c r="M1480" i="7"/>
  <c r="L1481" i="7"/>
  <c r="O1308" i="7" l="1"/>
  <c r="N1308" i="7"/>
  <c r="P1309" i="7" s="1"/>
  <c r="L1482" i="7"/>
  <c r="M1481" i="7"/>
  <c r="O1309" i="7" l="1"/>
  <c r="N1309" i="7"/>
  <c r="P1310" i="7" s="1"/>
  <c r="L1483" i="7"/>
  <c r="M1482" i="7"/>
  <c r="O1310" i="7" l="1"/>
  <c r="N1310" i="7"/>
  <c r="P1311" i="7" s="1"/>
  <c r="L1484" i="7"/>
  <c r="M1483" i="7"/>
  <c r="O1311" i="7" l="1"/>
  <c r="N1311" i="7"/>
  <c r="P1312" i="7" s="1"/>
  <c r="L1485" i="7"/>
  <c r="M1484" i="7"/>
  <c r="O1312" i="7" l="1"/>
  <c r="N1312" i="7"/>
  <c r="P1313" i="7" s="1"/>
  <c r="M1485" i="7"/>
  <c r="L1486" i="7"/>
  <c r="O1313" i="7" l="1"/>
  <c r="N1313" i="7"/>
  <c r="P1314" i="7" s="1"/>
  <c r="L1487" i="7"/>
  <c r="M1486" i="7"/>
  <c r="O1314" i="7" l="1"/>
  <c r="N1314" i="7"/>
  <c r="P1315" i="7" s="1"/>
  <c r="L1488" i="7"/>
  <c r="M1487" i="7"/>
  <c r="O1315" i="7" l="1"/>
  <c r="N1315" i="7"/>
  <c r="P1316" i="7" s="1"/>
  <c r="M1488" i="7"/>
  <c r="L1489" i="7"/>
  <c r="O1316" i="7" l="1"/>
  <c r="N1316" i="7"/>
  <c r="P1317" i="7" s="1"/>
  <c r="L1490" i="7"/>
  <c r="M1489" i="7"/>
  <c r="O1317" i="7" l="1"/>
  <c r="N1317" i="7"/>
  <c r="P1318" i="7" s="1"/>
  <c r="L1491" i="7"/>
  <c r="M1490" i="7"/>
  <c r="O1318" i="7" l="1"/>
  <c r="N1318" i="7"/>
  <c r="P1319" i="7" s="1"/>
  <c r="L1492" i="7"/>
  <c r="M1491" i="7"/>
  <c r="O1319" i="7" l="1"/>
  <c r="N1319" i="7"/>
  <c r="P1320" i="7" s="1"/>
  <c r="L1493" i="7"/>
  <c r="M1492" i="7"/>
  <c r="O1320" i="7" l="1"/>
  <c r="N1320" i="7"/>
  <c r="P1321" i="7" s="1"/>
  <c r="M1493" i="7"/>
  <c r="L1494" i="7"/>
  <c r="O1321" i="7" l="1"/>
  <c r="N1321" i="7"/>
  <c r="P1322" i="7" s="1"/>
  <c r="M1494" i="7"/>
  <c r="L1495" i="7"/>
  <c r="O1322" i="7" l="1"/>
  <c r="N1322" i="7"/>
  <c r="P1323" i="7" s="1"/>
  <c r="M1495" i="7"/>
  <c r="L1496" i="7"/>
  <c r="O1323" i="7" l="1"/>
  <c r="N1323" i="7"/>
  <c r="P1324" i="7" s="1"/>
  <c r="M1496" i="7"/>
  <c r="L1497" i="7"/>
  <c r="O1324" i="7" l="1"/>
  <c r="N1324" i="7"/>
  <c r="P1325" i="7" s="1"/>
  <c r="L1498" i="7"/>
  <c r="M1497" i="7"/>
  <c r="O1325" i="7" l="1"/>
  <c r="N1325" i="7"/>
  <c r="P1326" i="7" s="1"/>
  <c r="L1499" i="7"/>
  <c r="M1498" i="7"/>
  <c r="O1326" i="7" l="1"/>
  <c r="N1326" i="7"/>
  <c r="P1327" i="7" s="1"/>
  <c r="M1499" i="7"/>
  <c r="L1500" i="7"/>
  <c r="O1327" i="7" l="1"/>
  <c r="N1327" i="7"/>
  <c r="P1328" i="7" s="1"/>
  <c r="L1501" i="7"/>
  <c r="M1500" i="7"/>
  <c r="O1328" i="7" l="1"/>
  <c r="N1328" i="7"/>
  <c r="P1329" i="7" s="1"/>
  <c r="M1501" i="7"/>
  <c r="L1502" i="7"/>
  <c r="O1329" i="7" l="1"/>
  <c r="N1329" i="7"/>
  <c r="P1330" i="7" s="1"/>
  <c r="M1502" i="7"/>
  <c r="L1503" i="7"/>
  <c r="O1330" i="7" l="1"/>
  <c r="N1330" i="7"/>
  <c r="P1331" i="7" s="1"/>
  <c r="L1504" i="7"/>
  <c r="M1503" i="7"/>
  <c r="O1331" i="7" l="1"/>
  <c r="N1331" i="7"/>
  <c r="P1332" i="7" s="1"/>
  <c r="M1504" i="7"/>
  <c r="L1505" i="7"/>
  <c r="O1332" i="7" l="1"/>
  <c r="N1332" i="7"/>
  <c r="P1333" i="7" s="1"/>
  <c r="L1506" i="7"/>
  <c r="M1505" i="7"/>
  <c r="O1333" i="7" l="1"/>
  <c r="N1333" i="7"/>
  <c r="P1334" i="7" s="1"/>
  <c r="L1507" i="7"/>
  <c r="M1506" i="7"/>
  <c r="O1334" i="7" l="1"/>
  <c r="N1334" i="7"/>
  <c r="P1335" i="7" s="1"/>
  <c r="M1507" i="7"/>
  <c r="L1508" i="7"/>
  <c r="O1335" i="7" l="1"/>
  <c r="N1335" i="7"/>
  <c r="P1336" i="7" s="1"/>
  <c r="L1509" i="7"/>
  <c r="M1508" i="7"/>
  <c r="O1336" i="7" l="1"/>
  <c r="N1336" i="7"/>
  <c r="P1337" i="7" s="1"/>
  <c r="M1509" i="7"/>
  <c r="L1510" i="7"/>
  <c r="O1337" i="7" l="1"/>
  <c r="N1337" i="7"/>
  <c r="P1338" i="7" s="1"/>
  <c r="L1511" i="7"/>
  <c r="M1510" i="7"/>
  <c r="O1338" i="7" l="1"/>
  <c r="N1338" i="7"/>
  <c r="P1339" i="7" s="1"/>
  <c r="L1512" i="7"/>
  <c r="M1511" i="7"/>
  <c r="O1339" i="7" l="1"/>
  <c r="N1339" i="7"/>
  <c r="P1340" i="7" s="1"/>
  <c r="M1512" i="7"/>
  <c r="L1513" i="7"/>
  <c r="O1340" i="7" l="1"/>
  <c r="N1340" i="7"/>
  <c r="P1341" i="7" s="1"/>
  <c r="L1514" i="7"/>
  <c r="M1513" i="7"/>
  <c r="O1341" i="7" l="1"/>
  <c r="N1341" i="7"/>
  <c r="P1342" i="7" s="1"/>
  <c r="L1515" i="7"/>
  <c r="M1514" i="7"/>
  <c r="O1342" i="7" l="1"/>
  <c r="N1342" i="7"/>
  <c r="P1343" i="7" s="1"/>
  <c r="L1516" i="7"/>
  <c r="M1515" i="7"/>
  <c r="O1343" i="7" l="1"/>
  <c r="N1343" i="7"/>
  <c r="P1344" i="7" s="1"/>
  <c r="L1517" i="7"/>
  <c r="M1516" i="7"/>
  <c r="O1344" i="7" l="1"/>
  <c r="N1344" i="7"/>
  <c r="P1345" i="7" s="1"/>
  <c r="M1517" i="7"/>
  <c r="L1518" i="7"/>
  <c r="O1345" i="7" l="1"/>
  <c r="N1345" i="7"/>
  <c r="P1346" i="7" s="1"/>
  <c r="L1519" i="7"/>
  <c r="M1518" i="7"/>
  <c r="O1346" i="7" l="1"/>
  <c r="N1346" i="7"/>
  <c r="P1347" i="7" s="1"/>
  <c r="L1520" i="7"/>
  <c r="M1519" i="7"/>
  <c r="O1347" i="7" l="1"/>
  <c r="N1347" i="7"/>
  <c r="P1348" i="7" s="1"/>
  <c r="M1520" i="7"/>
  <c r="L1521" i="7"/>
  <c r="O1348" i="7" l="1"/>
  <c r="N1348" i="7"/>
  <c r="P1349" i="7" s="1"/>
  <c r="L1522" i="7"/>
  <c r="M1521" i="7"/>
  <c r="O1349" i="7" l="1"/>
  <c r="N1349" i="7"/>
  <c r="P1350" i="7" s="1"/>
  <c r="M1522" i="7"/>
  <c r="L1523" i="7"/>
  <c r="O1350" i="7" l="1"/>
  <c r="N1350" i="7"/>
  <c r="P1351" i="7" s="1"/>
  <c r="L1524" i="7"/>
  <c r="M1523" i="7"/>
  <c r="O1351" i="7" l="1"/>
  <c r="N1351" i="7"/>
  <c r="P1352" i="7" s="1"/>
  <c r="L1525" i="7"/>
  <c r="M1524" i="7"/>
  <c r="O1352" i="7" l="1"/>
  <c r="N1352" i="7"/>
  <c r="P1353" i="7" s="1"/>
  <c r="M1525" i="7"/>
  <c r="L1526" i="7"/>
  <c r="O1353" i="7" l="1"/>
  <c r="N1353" i="7"/>
  <c r="P1354" i="7" s="1"/>
  <c r="M1526" i="7"/>
  <c r="L1527" i="7"/>
  <c r="O1354" i="7" l="1"/>
  <c r="N1354" i="7"/>
  <c r="P1355" i="7" s="1"/>
  <c r="M1527" i="7"/>
  <c r="L1528" i="7"/>
  <c r="O1355" i="7" l="1"/>
  <c r="N1355" i="7"/>
  <c r="P1356" i="7" s="1"/>
  <c r="M1528" i="7"/>
  <c r="L1529" i="7"/>
  <c r="O1356" i="7" l="1"/>
  <c r="N1356" i="7"/>
  <c r="P1357" i="7" s="1"/>
  <c r="L1530" i="7"/>
  <c r="M1529" i="7"/>
  <c r="O1357" i="7" l="1"/>
  <c r="N1357" i="7"/>
  <c r="P1358" i="7" s="1"/>
  <c r="M1530" i="7"/>
  <c r="L1531" i="7"/>
  <c r="O1358" i="7" l="1"/>
  <c r="N1358" i="7"/>
  <c r="P1359" i="7" s="1"/>
  <c r="M1531" i="7"/>
  <c r="L1532" i="7"/>
  <c r="O1359" i="7" l="1"/>
  <c r="N1359" i="7"/>
  <c r="P1360" i="7" s="1"/>
  <c r="L1533" i="7"/>
  <c r="M1532" i="7"/>
  <c r="O1360" i="7" l="1"/>
  <c r="N1360" i="7"/>
  <c r="P1361" i="7" s="1"/>
  <c r="M1533" i="7"/>
  <c r="L1534" i="7"/>
  <c r="O1361" i="7" l="1"/>
  <c r="N1361" i="7"/>
  <c r="P1362" i="7" s="1"/>
  <c r="L1535" i="7"/>
  <c r="M1534" i="7"/>
  <c r="O1362" i="7" l="1"/>
  <c r="N1362" i="7"/>
  <c r="P1363" i="7" s="1"/>
  <c r="M1535" i="7"/>
  <c r="L1536" i="7"/>
  <c r="O1363" i="7" l="1"/>
  <c r="N1363" i="7"/>
  <c r="P1364" i="7" s="1"/>
  <c r="M1536" i="7"/>
  <c r="L1537" i="7"/>
  <c r="O1364" i="7" l="1"/>
  <c r="N1364" i="7"/>
  <c r="P1365" i="7" s="1"/>
  <c r="L1538" i="7"/>
  <c r="M1537" i="7"/>
  <c r="O1365" i="7" l="1"/>
  <c r="N1365" i="7"/>
  <c r="P1366" i="7" s="1"/>
  <c r="M1538" i="7"/>
  <c r="L1539" i="7"/>
  <c r="O1366" i="7" l="1"/>
  <c r="N1366" i="7"/>
  <c r="P1367" i="7" s="1"/>
  <c r="L1540" i="7"/>
  <c r="M1539" i="7"/>
  <c r="O1367" i="7" l="1"/>
  <c r="N1367" i="7"/>
  <c r="P1368" i="7" s="1"/>
  <c r="L1541" i="7"/>
  <c r="M1540" i="7"/>
  <c r="O1368" i="7" l="1"/>
  <c r="N1368" i="7"/>
  <c r="P1369" i="7" s="1"/>
  <c r="M1541" i="7"/>
  <c r="L1542" i="7"/>
  <c r="O1369" i="7" l="1"/>
  <c r="N1369" i="7"/>
  <c r="P1370" i="7" s="1"/>
  <c r="L1543" i="7"/>
  <c r="M1542" i="7"/>
  <c r="O1370" i="7" l="1"/>
  <c r="N1370" i="7"/>
  <c r="P1371" i="7" s="1"/>
  <c r="M1543" i="7"/>
  <c r="L1544" i="7"/>
  <c r="O1371" i="7" l="1"/>
  <c r="N1371" i="7"/>
  <c r="P1372" i="7" s="1"/>
  <c r="M1544" i="7"/>
  <c r="L1545" i="7"/>
  <c r="O1372" i="7" l="1"/>
  <c r="N1372" i="7"/>
  <c r="P1373" i="7" s="1"/>
  <c r="L1546" i="7"/>
  <c r="M1545" i="7"/>
  <c r="O1373" i="7" l="1"/>
  <c r="N1373" i="7"/>
  <c r="P1374" i="7" s="1"/>
  <c r="L1547" i="7"/>
  <c r="M1546" i="7"/>
  <c r="O1374" i="7" l="1"/>
  <c r="N1374" i="7"/>
  <c r="P1375" i="7" s="1"/>
  <c r="L1548" i="7"/>
  <c r="M1547" i="7"/>
  <c r="O1375" i="7" l="1"/>
  <c r="N1375" i="7"/>
  <c r="P1376" i="7" s="1"/>
  <c r="L1549" i="7"/>
  <c r="M1548" i="7"/>
  <c r="O1376" i="7" l="1"/>
  <c r="N1376" i="7"/>
  <c r="P1377" i="7" s="1"/>
  <c r="M1549" i="7"/>
  <c r="L1550" i="7"/>
  <c r="O1377" i="7" l="1"/>
  <c r="N1377" i="7"/>
  <c r="P1378" i="7" s="1"/>
  <c r="L1551" i="7"/>
  <c r="M1550" i="7"/>
  <c r="O1378" i="7" l="1"/>
  <c r="N1378" i="7"/>
  <c r="P1379" i="7" s="1"/>
  <c r="L1552" i="7"/>
  <c r="M1551" i="7"/>
  <c r="O1379" i="7" l="1"/>
  <c r="N1379" i="7"/>
  <c r="P1380" i="7" s="1"/>
  <c r="M1552" i="7"/>
  <c r="L1553" i="7"/>
  <c r="O1380" i="7" l="1"/>
  <c r="N1380" i="7"/>
  <c r="P1381" i="7" s="1"/>
  <c r="L1554" i="7"/>
  <c r="M1553" i="7"/>
  <c r="O1381" i="7" l="1"/>
  <c r="N1381" i="7"/>
  <c r="P1382" i="7" s="1"/>
  <c r="L1555" i="7"/>
  <c r="M1554" i="7"/>
  <c r="O1382" i="7" l="1"/>
  <c r="N1382" i="7"/>
  <c r="P1383" i="7" s="1"/>
  <c r="L1556" i="7"/>
  <c r="M1555" i="7"/>
  <c r="O1383" i="7" l="1"/>
  <c r="N1383" i="7"/>
  <c r="P1384" i="7" s="1"/>
  <c r="L1557" i="7"/>
  <c r="M1556" i="7"/>
  <c r="O1384" i="7" l="1"/>
  <c r="N1384" i="7"/>
  <c r="P1385" i="7" s="1"/>
  <c r="M1557" i="7"/>
  <c r="L1558" i="7"/>
  <c r="O1385" i="7" l="1"/>
  <c r="N1385" i="7"/>
  <c r="P1386" i="7" s="1"/>
  <c r="M1558" i="7"/>
  <c r="L1559" i="7"/>
  <c r="O1386" i="7" l="1"/>
  <c r="N1386" i="7"/>
  <c r="P1387" i="7" s="1"/>
  <c r="L1560" i="7"/>
  <c r="M1559" i="7"/>
  <c r="O1387" i="7" l="1"/>
  <c r="N1387" i="7"/>
  <c r="P1388" i="7" s="1"/>
  <c r="M1560" i="7"/>
  <c r="L1561" i="7"/>
  <c r="O1388" i="7" l="1"/>
  <c r="N1388" i="7"/>
  <c r="P1389" i="7" s="1"/>
  <c r="L1562" i="7"/>
  <c r="M1561" i="7"/>
  <c r="O1389" i="7" l="1"/>
  <c r="N1389" i="7"/>
  <c r="P1390" i="7" s="1"/>
  <c r="L1563" i="7"/>
  <c r="M1562" i="7"/>
  <c r="O1390" i="7" l="1"/>
  <c r="N1390" i="7"/>
  <c r="P1391" i="7" s="1"/>
  <c r="M1563" i="7"/>
  <c r="L1564" i="7"/>
  <c r="O1391" i="7" l="1"/>
  <c r="N1391" i="7"/>
  <c r="P1392" i="7" s="1"/>
  <c r="L1565" i="7"/>
  <c r="M1564" i="7"/>
  <c r="O1392" i="7" l="1"/>
  <c r="N1392" i="7"/>
  <c r="P1393" i="7" s="1"/>
  <c r="M1565" i="7"/>
  <c r="L1566" i="7"/>
  <c r="O1393" i="7" l="1"/>
  <c r="N1393" i="7"/>
  <c r="P1394" i="7" s="1"/>
  <c r="M1566" i="7"/>
  <c r="L1567" i="7"/>
  <c r="O1394" i="7" l="1"/>
  <c r="N1394" i="7"/>
  <c r="P1395" i="7" s="1"/>
  <c r="L1568" i="7"/>
  <c r="M1567" i="7"/>
  <c r="O1395" i="7" l="1"/>
  <c r="N1395" i="7"/>
  <c r="P1396" i="7" s="1"/>
  <c r="M1568" i="7"/>
  <c r="L1569" i="7"/>
  <c r="O1396" i="7" l="1"/>
  <c r="N1396" i="7"/>
  <c r="P1397" i="7" s="1"/>
  <c r="L1570" i="7"/>
  <c r="M1569" i="7"/>
  <c r="O1397" i="7" l="1"/>
  <c r="N1397" i="7"/>
  <c r="P1398" i="7" s="1"/>
  <c r="L1571" i="7"/>
  <c r="M1570" i="7"/>
  <c r="O1398" i="7" l="1"/>
  <c r="N1398" i="7"/>
  <c r="P1399" i="7" s="1"/>
  <c r="M1571" i="7"/>
  <c r="L1572" i="7"/>
  <c r="O1399" i="7" l="1"/>
  <c r="N1399" i="7"/>
  <c r="P1400" i="7" s="1"/>
  <c r="L1573" i="7"/>
  <c r="M1572" i="7"/>
  <c r="O1400" i="7" l="1"/>
  <c r="N1400" i="7"/>
  <c r="P1401" i="7" s="1"/>
  <c r="M1573" i="7"/>
  <c r="L1574" i="7"/>
  <c r="O1401" i="7" l="1"/>
  <c r="N1401" i="7"/>
  <c r="P1402" i="7" s="1"/>
  <c r="L1575" i="7"/>
  <c r="M1574" i="7"/>
  <c r="O1402" i="7" l="1"/>
  <c r="N1402" i="7"/>
  <c r="P1403" i="7" s="1"/>
  <c r="L1576" i="7"/>
  <c r="M1575" i="7"/>
  <c r="O1403" i="7" l="1"/>
  <c r="N1403" i="7"/>
  <c r="P1404" i="7" s="1"/>
  <c r="M1576" i="7"/>
  <c r="L1577" i="7"/>
  <c r="O1404" i="7" l="1"/>
  <c r="N1404" i="7"/>
  <c r="P1405" i="7" s="1"/>
  <c r="L1578" i="7"/>
  <c r="M1577" i="7"/>
  <c r="O1405" i="7" l="1"/>
  <c r="N1405" i="7"/>
  <c r="P1406" i="7" s="1"/>
  <c r="L1579" i="7"/>
  <c r="M1578" i="7"/>
  <c r="O1406" i="7" l="1"/>
  <c r="N1406" i="7"/>
  <c r="P1407" i="7" s="1"/>
  <c r="L1580" i="7"/>
  <c r="M1579" i="7"/>
  <c r="O1407" i="7" l="1"/>
  <c r="N1407" i="7"/>
  <c r="P1408" i="7" s="1"/>
  <c r="L1581" i="7"/>
  <c r="M1580" i="7"/>
  <c r="O1408" i="7" l="1"/>
  <c r="N1408" i="7"/>
  <c r="P1409" i="7" s="1"/>
  <c r="M1581" i="7"/>
  <c r="L1582" i="7"/>
  <c r="O1409" i="7" l="1"/>
  <c r="N1409" i="7"/>
  <c r="P1410" i="7" s="1"/>
  <c r="L1583" i="7"/>
  <c r="M1582" i="7"/>
  <c r="O1410" i="7" l="1"/>
  <c r="N1410" i="7"/>
  <c r="P1411" i="7" s="1"/>
  <c r="L1584" i="7"/>
  <c r="M1583" i="7"/>
  <c r="O1411" i="7" l="1"/>
  <c r="N1411" i="7"/>
  <c r="P1412" i="7" s="1"/>
  <c r="M1584" i="7"/>
  <c r="L1585" i="7"/>
  <c r="O1412" i="7" l="1"/>
  <c r="N1412" i="7"/>
  <c r="P1413" i="7" s="1"/>
  <c r="L1586" i="7"/>
  <c r="M1585" i="7"/>
  <c r="O1413" i="7" l="1"/>
  <c r="N1413" i="7"/>
  <c r="P1414" i="7" s="1"/>
  <c r="M1586" i="7"/>
  <c r="L1587" i="7"/>
  <c r="O1414" i="7" l="1"/>
  <c r="N1414" i="7"/>
  <c r="P1415" i="7" s="1"/>
  <c r="L1588" i="7"/>
  <c r="M1587" i="7"/>
  <c r="O1415" i="7" l="1"/>
  <c r="N1415" i="7"/>
  <c r="P1416" i="7" s="1"/>
  <c r="L1589" i="7"/>
  <c r="M1588" i="7"/>
  <c r="O1416" i="7" l="1"/>
  <c r="N1416" i="7"/>
  <c r="P1417" i="7" s="1"/>
  <c r="M1589" i="7"/>
  <c r="L1590" i="7"/>
  <c r="O1417" i="7" l="1"/>
  <c r="N1417" i="7"/>
  <c r="P1418" i="7" s="1"/>
  <c r="M1590" i="7"/>
  <c r="L1591" i="7"/>
  <c r="O1418" i="7" l="1"/>
  <c r="N1418" i="7"/>
  <c r="P1419" i="7" s="1"/>
  <c r="M1591" i="7"/>
  <c r="L1592" i="7"/>
  <c r="O1419" i="7" l="1"/>
  <c r="N1419" i="7"/>
  <c r="P1420" i="7" s="1"/>
  <c r="M1592" i="7"/>
  <c r="L1593" i="7"/>
  <c r="O1420" i="7" l="1"/>
  <c r="N1420" i="7"/>
  <c r="P1421" i="7" s="1"/>
  <c r="L1594" i="7"/>
  <c r="M1593" i="7"/>
  <c r="O1421" i="7" l="1"/>
  <c r="N1421" i="7"/>
  <c r="P1422" i="7" s="1"/>
  <c r="M1594" i="7"/>
  <c r="L1595" i="7"/>
  <c r="O1422" i="7" l="1"/>
  <c r="N1422" i="7"/>
  <c r="P1423" i="7" s="1"/>
  <c r="M1595" i="7"/>
  <c r="L1596" i="7"/>
  <c r="O1423" i="7" l="1"/>
  <c r="N1423" i="7"/>
  <c r="P1424" i="7" s="1"/>
  <c r="L1597" i="7"/>
  <c r="M1596" i="7"/>
  <c r="O1424" i="7" l="1"/>
  <c r="N1424" i="7"/>
  <c r="P1425" i="7" s="1"/>
  <c r="M1597" i="7"/>
  <c r="L1598" i="7"/>
  <c r="O1425" i="7" l="1"/>
  <c r="N1425" i="7"/>
  <c r="P1426" i="7" s="1"/>
  <c r="L1599" i="7"/>
  <c r="M1598" i="7"/>
  <c r="O1426" i="7" l="1"/>
  <c r="N1426" i="7"/>
  <c r="P1427" i="7" s="1"/>
  <c r="M1599" i="7"/>
  <c r="L1600" i="7"/>
  <c r="O1427" i="7" l="1"/>
  <c r="N1427" i="7"/>
  <c r="P1428" i="7" s="1"/>
  <c r="M1600" i="7"/>
  <c r="L1601" i="7"/>
  <c r="O1428" i="7" l="1"/>
  <c r="N1428" i="7"/>
  <c r="P1429" i="7" s="1"/>
  <c r="L1602" i="7"/>
  <c r="M1601" i="7"/>
  <c r="O1429" i="7" l="1"/>
  <c r="N1429" i="7"/>
  <c r="P1430" i="7" s="1"/>
  <c r="M1602" i="7"/>
  <c r="L1603" i="7"/>
  <c r="O1430" i="7" l="1"/>
  <c r="N1430" i="7"/>
  <c r="P1431" i="7" s="1"/>
  <c r="L1604" i="7"/>
  <c r="M1603" i="7"/>
  <c r="O1431" i="7" l="1"/>
  <c r="N1431" i="7"/>
  <c r="P1432" i="7" s="1"/>
  <c r="L1605" i="7"/>
  <c r="M1604" i="7"/>
  <c r="O1432" i="7" l="1"/>
  <c r="N1432" i="7"/>
  <c r="P1433" i="7" s="1"/>
  <c r="M1605" i="7"/>
  <c r="L1606" i="7"/>
  <c r="O1433" i="7" l="1"/>
  <c r="N1433" i="7"/>
  <c r="P1434" i="7" s="1"/>
  <c r="L1607" i="7"/>
  <c r="M1606" i="7"/>
  <c r="O1434" i="7" l="1"/>
  <c r="N1434" i="7"/>
  <c r="P1435" i="7" s="1"/>
  <c r="M1607" i="7"/>
  <c r="L1608" i="7"/>
  <c r="O1435" i="7" l="1"/>
  <c r="N1435" i="7"/>
  <c r="P1436" i="7" s="1"/>
  <c r="M1608" i="7"/>
  <c r="L1609" i="7"/>
  <c r="O1436" i="7" l="1"/>
  <c r="N1436" i="7"/>
  <c r="P1437" i="7" s="1"/>
  <c r="L1610" i="7"/>
  <c r="M1609" i="7"/>
  <c r="O1437" i="7" l="1"/>
  <c r="N1437" i="7"/>
  <c r="P1438" i="7" s="1"/>
  <c r="L1611" i="7"/>
  <c r="M1610" i="7"/>
  <c r="O1438" i="7" l="1"/>
  <c r="N1438" i="7"/>
  <c r="P1439" i="7" s="1"/>
  <c r="L1612" i="7"/>
  <c r="M1611" i="7"/>
  <c r="O1439" i="7" l="1"/>
  <c r="N1439" i="7"/>
  <c r="P1440" i="7" s="1"/>
  <c r="L1613" i="7"/>
  <c r="M1612" i="7"/>
  <c r="O1440" i="7" l="1"/>
  <c r="N1440" i="7"/>
  <c r="P1441" i="7" s="1"/>
  <c r="M1613" i="7"/>
  <c r="L1614" i="7"/>
  <c r="O1441" i="7" l="1"/>
  <c r="N1441" i="7"/>
  <c r="P1442" i="7" s="1"/>
  <c r="L1615" i="7"/>
  <c r="M1614" i="7"/>
  <c r="O1442" i="7" l="1"/>
  <c r="N1442" i="7"/>
  <c r="P1443" i="7" s="1"/>
  <c r="L1616" i="7"/>
  <c r="M1615" i="7"/>
  <c r="O1443" i="7" l="1"/>
  <c r="N1443" i="7"/>
  <c r="P1444" i="7" s="1"/>
  <c r="M1616" i="7"/>
  <c r="L1617" i="7"/>
  <c r="O1444" i="7" l="1"/>
  <c r="N1444" i="7"/>
  <c r="P1445" i="7" s="1"/>
  <c r="L1618" i="7"/>
  <c r="M1617" i="7"/>
  <c r="O1445" i="7" l="1"/>
  <c r="N1445" i="7"/>
  <c r="P1446" i="7" s="1"/>
  <c r="M1618" i="7"/>
  <c r="L1619" i="7"/>
  <c r="O1446" i="7" l="1"/>
  <c r="N1446" i="7"/>
  <c r="P1447" i="7" s="1"/>
  <c r="L1620" i="7"/>
  <c r="M1619" i="7"/>
  <c r="O1447" i="7" l="1"/>
  <c r="N1447" i="7"/>
  <c r="P1448" i="7" s="1"/>
  <c r="L1621" i="7"/>
  <c r="M1620" i="7"/>
  <c r="O1448" i="7" l="1"/>
  <c r="N1448" i="7"/>
  <c r="P1449" i="7" s="1"/>
  <c r="M1621" i="7"/>
  <c r="L1622" i="7"/>
  <c r="O1449" i="7" l="1"/>
  <c r="N1449" i="7"/>
  <c r="P1450" i="7" s="1"/>
  <c r="M1622" i="7"/>
  <c r="L1623" i="7"/>
  <c r="O1450" i="7" l="1"/>
  <c r="N1450" i="7"/>
  <c r="P1451" i="7" s="1"/>
  <c r="L1624" i="7"/>
  <c r="M1623" i="7"/>
  <c r="O1451" i="7" l="1"/>
  <c r="N1451" i="7"/>
  <c r="P1452" i="7" s="1"/>
  <c r="M1624" i="7"/>
  <c r="L1625" i="7"/>
  <c r="O1452" i="7" l="1"/>
  <c r="N1452" i="7"/>
  <c r="P1453" i="7" s="1"/>
  <c r="L1626" i="7"/>
  <c r="M1625" i="7"/>
  <c r="O1453" i="7" l="1"/>
  <c r="N1453" i="7"/>
  <c r="P1454" i="7" s="1"/>
  <c r="L1627" i="7"/>
  <c r="M1626" i="7"/>
  <c r="O1454" i="7" l="1"/>
  <c r="N1454" i="7"/>
  <c r="P1455" i="7" s="1"/>
  <c r="M1627" i="7"/>
  <c r="L1628" i="7"/>
  <c r="O1455" i="7" l="1"/>
  <c r="N1455" i="7"/>
  <c r="P1456" i="7" s="1"/>
  <c r="L1629" i="7"/>
  <c r="M1628" i="7"/>
  <c r="O1456" i="7" l="1"/>
  <c r="N1456" i="7"/>
  <c r="P1457" i="7" s="1"/>
  <c r="M1629" i="7"/>
  <c r="L1630" i="7"/>
  <c r="O1457" i="7" l="1"/>
  <c r="N1457" i="7"/>
  <c r="P1458" i="7" s="1"/>
  <c r="M1630" i="7"/>
  <c r="L1631" i="7"/>
  <c r="O1458" i="7" l="1"/>
  <c r="N1458" i="7"/>
  <c r="P1459" i="7" s="1"/>
  <c r="L1632" i="7"/>
  <c r="M1631" i="7"/>
  <c r="O1459" i="7" l="1"/>
  <c r="N1459" i="7"/>
  <c r="P1460" i="7" s="1"/>
  <c r="M1632" i="7"/>
  <c r="L1633" i="7"/>
  <c r="O1460" i="7" l="1"/>
  <c r="N1460" i="7"/>
  <c r="P1461" i="7" s="1"/>
  <c r="L1634" i="7"/>
  <c r="M1633" i="7"/>
  <c r="O1461" i="7" l="1"/>
  <c r="N1461" i="7"/>
  <c r="P1462" i="7" s="1"/>
  <c r="L1635" i="7"/>
  <c r="M1634" i="7"/>
  <c r="O1462" i="7" l="1"/>
  <c r="N1462" i="7"/>
  <c r="P1463" i="7" s="1"/>
  <c r="M1635" i="7"/>
  <c r="L1636" i="7"/>
  <c r="O1463" i="7" l="1"/>
  <c r="N1463" i="7"/>
  <c r="P1464" i="7" s="1"/>
  <c r="L1637" i="7"/>
  <c r="M1636" i="7"/>
  <c r="O1464" i="7" l="1"/>
  <c r="N1464" i="7"/>
  <c r="P1465" i="7" s="1"/>
  <c r="M1637" i="7"/>
  <c r="L1638" i="7"/>
  <c r="O1465" i="7" l="1"/>
  <c r="N1465" i="7"/>
  <c r="P1466" i="7" s="1"/>
  <c r="L1639" i="7"/>
  <c r="M1638" i="7"/>
  <c r="O1466" i="7" l="1"/>
  <c r="N1466" i="7"/>
  <c r="P1467" i="7" s="1"/>
  <c r="L1640" i="7"/>
  <c r="M1639" i="7"/>
  <c r="O1467" i="7" l="1"/>
  <c r="N1467" i="7"/>
  <c r="P1468" i="7" s="1"/>
  <c r="M1640" i="7"/>
  <c r="L1641" i="7"/>
  <c r="O1468" i="7" l="1"/>
  <c r="N1468" i="7"/>
  <c r="P1469" i="7" s="1"/>
  <c r="L1642" i="7"/>
  <c r="M1641" i="7"/>
  <c r="O1469" i="7" l="1"/>
  <c r="N1469" i="7"/>
  <c r="P1470" i="7" s="1"/>
  <c r="M1642" i="7"/>
  <c r="L1643" i="7"/>
  <c r="O1470" i="7" l="1"/>
  <c r="N1470" i="7"/>
  <c r="P1471" i="7" s="1"/>
  <c r="M1643" i="7"/>
  <c r="L1644" i="7"/>
  <c r="O1471" i="7" l="1"/>
  <c r="N1471" i="7"/>
  <c r="P1472" i="7" s="1"/>
  <c r="M1644" i="7"/>
  <c r="L1645" i="7"/>
  <c r="O1472" i="7" l="1"/>
  <c r="N1472" i="7"/>
  <c r="P1473" i="7" s="1"/>
  <c r="L1646" i="7"/>
  <c r="M1645" i="7"/>
  <c r="O1473" i="7" l="1"/>
  <c r="N1473" i="7"/>
  <c r="P1474" i="7" s="1"/>
  <c r="L1647" i="7"/>
  <c r="M1646" i="7"/>
  <c r="O1474" i="7" l="1"/>
  <c r="N1474" i="7"/>
  <c r="P1475" i="7" s="1"/>
  <c r="M1647" i="7"/>
  <c r="L1648" i="7"/>
  <c r="O1475" i="7" l="1"/>
  <c r="N1475" i="7"/>
  <c r="P1476" i="7" s="1"/>
  <c r="L1649" i="7"/>
  <c r="M1648" i="7"/>
  <c r="O1476" i="7" l="1"/>
  <c r="N1476" i="7"/>
  <c r="P1477" i="7" s="1"/>
  <c r="L1650" i="7"/>
  <c r="M1649" i="7"/>
  <c r="O1477" i="7" l="1"/>
  <c r="N1477" i="7"/>
  <c r="P1478" i="7" s="1"/>
  <c r="M1650" i="7"/>
  <c r="L1651" i="7"/>
  <c r="O1478" i="7" l="1"/>
  <c r="N1478" i="7"/>
  <c r="P1479" i="7" s="1"/>
  <c r="L1652" i="7"/>
  <c r="M1651" i="7"/>
  <c r="O1479" i="7" l="1"/>
  <c r="N1479" i="7"/>
  <c r="P1480" i="7" s="1"/>
  <c r="L1653" i="7"/>
  <c r="M1652" i="7"/>
  <c r="O1480" i="7" l="1"/>
  <c r="N1480" i="7"/>
  <c r="P1481" i="7" s="1"/>
  <c r="M1653" i="7"/>
  <c r="L1654" i="7"/>
  <c r="O1481" i="7" l="1"/>
  <c r="N1481" i="7"/>
  <c r="P1482" i="7" s="1"/>
  <c r="L1655" i="7"/>
  <c r="M1654" i="7"/>
  <c r="O1482" i="7" l="1"/>
  <c r="N1482" i="7"/>
  <c r="P1483" i="7" s="1"/>
  <c r="L1656" i="7"/>
  <c r="M1655" i="7"/>
  <c r="O1483" i="7" l="1"/>
  <c r="N1483" i="7"/>
  <c r="P1484" i="7" s="1"/>
  <c r="L1657" i="7"/>
  <c r="M1656" i="7"/>
  <c r="O1484" i="7" l="1"/>
  <c r="N1484" i="7"/>
  <c r="P1485" i="7" s="1"/>
  <c r="L1658" i="7"/>
  <c r="M1657" i="7"/>
  <c r="O1485" i="7" l="1"/>
  <c r="N1485" i="7"/>
  <c r="P1486" i="7" s="1"/>
  <c r="M1658" i="7"/>
  <c r="L1659" i="7"/>
  <c r="O1486" i="7" l="1"/>
  <c r="N1486" i="7"/>
  <c r="P1487" i="7" s="1"/>
  <c r="L1660" i="7"/>
  <c r="M1659" i="7"/>
  <c r="O1487" i="7" l="1"/>
  <c r="N1487" i="7"/>
  <c r="P1488" i="7" s="1"/>
  <c r="M1660" i="7"/>
  <c r="L1661" i="7"/>
  <c r="O1488" i="7" l="1"/>
  <c r="N1488" i="7"/>
  <c r="P1489" i="7" s="1"/>
  <c r="M1661" i="7"/>
  <c r="L1662" i="7"/>
  <c r="O1489" i="7" l="1"/>
  <c r="N1489" i="7"/>
  <c r="P1490" i="7" s="1"/>
  <c r="L1663" i="7"/>
  <c r="M1662" i="7"/>
  <c r="O1490" i="7" l="1"/>
  <c r="N1490" i="7"/>
  <c r="P1491" i="7" s="1"/>
  <c r="L1664" i="7"/>
  <c r="M1663" i="7"/>
  <c r="O1491" i="7" l="1"/>
  <c r="N1491" i="7"/>
  <c r="P1492" i="7" s="1"/>
  <c r="L1665" i="7"/>
  <c r="M1664" i="7"/>
  <c r="O1492" i="7" l="1"/>
  <c r="N1492" i="7"/>
  <c r="P1493" i="7" s="1"/>
  <c r="L1666" i="7"/>
  <c r="M1665" i="7"/>
  <c r="O1493" i="7" l="1"/>
  <c r="N1493" i="7"/>
  <c r="P1494" i="7" s="1"/>
  <c r="M1666" i="7"/>
  <c r="L1667" i="7"/>
  <c r="O1494" i="7" l="1"/>
  <c r="N1494" i="7"/>
  <c r="P1495" i="7" s="1"/>
  <c r="L1668" i="7"/>
  <c r="M1667" i="7"/>
  <c r="O1495" i="7" l="1"/>
  <c r="N1495" i="7"/>
  <c r="P1496" i="7" s="1"/>
  <c r="M1668" i="7"/>
  <c r="L1669" i="7"/>
  <c r="O1496" i="7" l="1"/>
  <c r="N1496" i="7"/>
  <c r="P1497" i="7" s="1"/>
  <c r="M1669" i="7"/>
  <c r="L1670" i="7"/>
  <c r="O1497" i="7" l="1"/>
  <c r="N1497" i="7"/>
  <c r="P1498" i="7" s="1"/>
  <c r="L1671" i="7"/>
  <c r="M1670" i="7"/>
  <c r="O1498" i="7" l="1"/>
  <c r="N1498" i="7"/>
  <c r="P1499" i="7" s="1"/>
  <c r="M1671" i="7"/>
  <c r="L1672" i="7"/>
  <c r="O1499" i="7" l="1"/>
  <c r="N1499" i="7"/>
  <c r="P1500" i="7" s="1"/>
  <c r="L1673" i="7"/>
  <c r="M1672" i="7"/>
  <c r="O1500" i="7" l="1"/>
  <c r="N1500" i="7"/>
  <c r="P1501" i="7" s="1"/>
  <c r="L1674" i="7"/>
  <c r="M1673" i="7"/>
  <c r="O1501" i="7" l="1"/>
  <c r="N1501" i="7"/>
  <c r="P1502" i="7" s="1"/>
  <c r="M1674" i="7"/>
  <c r="L1675" i="7"/>
  <c r="O1502" i="7" l="1"/>
  <c r="N1502" i="7"/>
  <c r="P1503" i="7" s="1"/>
  <c r="M1675" i="7"/>
  <c r="L1676" i="7"/>
  <c r="O1503" i="7" l="1"/>
  <c r="N1503" i="7"/>
  <c r="P1504" i="7" s="1"/>
  <c r="M1676" i="7"/>
  <c r="L1677" i="7"/>
  <c r="O1504" i="7" l="1"/>
  <c r="N1504" i="7"/>
  <c r="P1505" i="7" s="1"/>
  <c r="M1677" i="7"/>
  <c r="L1678" i="7"/>
  <c r="O1505" i="7" l="1"/>
  <c r="N1505" i="7"/>
  <c r="P1506" i="7" s="1"/>
  <c r="L1679" i="7"/>
  <c r="M1678" i="7"/>
  <c r="O1506" i="7" l="1"/>
  <c r="N1506" i="7"/>
  <c r="P1507" i="7" s="1"/>
  <c r="M1679" i="7"/>
  <c r="L1680" i="7"/>
  <c r="O1507" i="7" l="1"/>
  <c r="N1507" i="7"/>
  <c r="P1508" i="7" s="1"/>
  <c r="L1681" i="7"/>
  <c r="M1680" i="7"/>
  <c r="O1508" i="7" l="1"/>
  <c r="N1508" i="7"/>
  <c r="P1509" i="7" s="1"/>
  <c r="L1682" i="7"/>
  <c r="M1681" i="7"/>
  <c r="O1509" i="7" l="1"/>
  <c r="N1509" i="7"/>
  <c r="P1510" i="7" s="1"/>
  <c r="M1682" i="7"/>
  <c r="L1683" i="7"/>
  <c r="O1510" i="7" l="1"/>
  <c r="N1510" i="7"/>
  <c r="P1511" i="7" s="1"/>
  <c r="L1684" i="7"/>
  <c r="M1683" i="7"/>
  <c r="O1511" i="7" l="1"/>
  <c r="N1511" i="7"/>
  <c r="P1512" i="7" s="1"/>
  <c r="M1684" i="7"/>
  <c r="L1685" i="7"/>
  <c r="O1512" i="7" l="1"/>
  <c r="N1512" i="7"/>
  <c r="P1513" i="7" s="1"/>
  <c r="M1685" i="7"/>
  <c r="L1686" i="7"/>
  <c r="O1513" i="7" l="1"/>
  <c r="N1513" i="7"/>
  <c r="P1514" i="7" s="1"/>
  <c r="L1687" i="7"/>
  <c r="M1686" i="7"/>
  <c r="O1514" i="7" l="1"/>
  <c r="N1514" i="7"/>
  <c r="P1515" i="7" s="1"/>
  <c r="L1688" i="7"/>
  <c r="M1687" i="7"/>
  <c r="O1515" i="7" l="1"/>
  <c r="N1515" i="7"/>
  <c r="P1516" i="7" s="1"/>
  <c r="L1689" i="7"/>
  <c r="M1688" i="7"/>
  <c r="O1516" i="7" l="1"/>
  <c r="N1516" i="7"/>
  <c r="P1517" i="7" s="1"/>
  <c r="L1690" i="7"/>
  <c r="M1689" i="7"/>
  <c r="O1517" i="7" l="1"/>
  <c r="N1517" i="7"/>
  <c r="P1518" i="7" s="1"/>
  <c r="M1690" i="7"/>
  <c r="L1691" i="7"/>
  <c r="O1518" i="7" l="1"/>
  <c r="N1518" i="7"/>
  <c r="P1519" i="7" s="1"/>
  <c r="L1692" i="7"/>
  <c r="M1691" i="7"/>
  <c r="O1519" i="7" l="1"/>
  <c r="N1519" i="7"/>
  <c r="P1520" i="7" s="1"/>
  <c r="M1692" i="7"/>
  <c r="L1693" i="7"/>
  <c r="O1520" i="7" l="1"/>
  <c r="N1520" i="7"/>
  <c r="P1521" i="7" s="1"/>
  <c r="M1693" i="7"/>
  <c r="L1694" i="7"/>
  <c r="O1521" i="7" l="1"/>
  <c r="N1521" i="7"/>
  <c r="P1522" i="7" s="1"/>
  <c r="L1695" i="7"/>
  <c r="M1694" i="7"/>
  <c r="O1522" i="7" l="1"/>
  <c r="N1522" i="7"/>
  <c r="P1523" i="7" s="1"/>
  <c r="L1696" i="7"/>
  <c r="M1695" i="7"/>
  <c r="O1523" i="7" l="1"/>
  <c r="N1523" i="7"/>
  <c r="P1524" i="7" s="1"/>
  <c r="L1697" i="7"/>
  <c r="M1696" i="7"/>
  <c r="O1524" i="7" l="1"/>
  <c r="N1524" i="7"/>
  <c r="P1525" i="7" s="1"/>
  <c r="L1698" i="7"/>
  <c r="M1697" i="7"/>
  <c r="O1525" i="7" l="1"/>
  <c r="N1525" i="7"/>
  <c r="P1526" i="7" s="1"/>
  <c r="M1698" i="7"/>
  <c r="L1699" i="7"/>
  <c r="O1526" i="7" l="1"/>
  <c r="N1526" i="7"/>
  <c r="P1527" i="7" s="1"/>
  <c r="M1699" i="7"/>
  <c r="L1700" i="7"/>
  <c r="O1527" i="7" l="1"/>
  <c r="N1527" i="7"/>
  <c r="P1528" i="7" s="1"/>
  <c r="M1700" i="7"/>
  <c r="L1701" i="7"/>
  <c r="O1528" i="7" l="1"/>
  <c r="N1528" i="7"/>
  <c r="P1529" i="7" s="1"/>
  <c r="M1701" i="7"/>
  <c r="L1702" i="7"/>
  <c r="O1529" i="7" l="1"/>
  <c r="N1529" i="7"/>
  <c r="P1530" i="7" s="1"/>
  <c r="L1703" i="7"/>
  <c r="M1702" i="7"/>
  <c r="O1530" i="7" l="1"/>
  <c r="N1530" i="7"/>
  <c r="P1531" i="7" s="1"/>
  <c r="M1703" i="7"/>
  <c r="L1704" i="7"/>
  <c r="O1531" i="7" l="1"/>
  <c r="N1531" i="7"/>
  <c r="P1532" i="7" s="1"/>
  <c r="L1705" i="7"/>
  <c r="M1704" i="7"/>
  <c r="O1532" i="7" l="1"/>
  <c r="N1532" i="7"/>
  <c r="P1533" i="7" s="1"/>
  <c r="L1706" i="7"/>
  <c r="M1705" i="7"/>
  <c r="O1533" i="7" l="1"/>
  <c r="N1533" i="7"/>
  <c r="P1534" i="7" s="1"/>
  <c r="M1706" i="7"/>
  <c r="L1707" i="7"/>
  <c r="O1534" i="7" l="1"/>
  <c r="N1534" i="7"/>
  <c r="P1535" i="7" s="1"/>
  <c r="M1707" i="7"/>
  <c r="L1708" i="7"/>
  <c r="O1535" i="7" l="1"/>
  <c r="N1535" i="7"/>
  <c r="P1536" i="7" s="1"/>
  <c r="M1708" i="7"/>
  <c r="L1709" i="7"/>
  <c r="O1536" i="7" l="1"/>
  <c r="N1536" i="7"/>
  <c r="P1537" i="7" s="1"/>
  <c r="M1709" i="7"/>
  <c r="L1710" i="7"/>
  <c r="O1537" i="7" l="1"/>
  <c r="N1537" i="7"/>
  <c r="P1538" i="7" s="1"/>
  <c r="L1711" i="7"/>
  <c r="M1710" i="7"/>
  <c r="O1538" i="7" l="1"/>
  <c r="N1538" i="7"/>
  <c r="P1539" i="7" s="1"/>
  <c r="L1712" i="7"/>
  <c r="M1711" i="7"/>
  <c r="O1539" i="7" l="1"/>
  <c r="N1539" i="7"/>
  <c r="P1540" i="7" s="1"/>
  <c r="L1713" i="7"/>
  <c r="M1712" i="7"/>
  <c r="O1540" i="7" l="1"/>
  <c r="N1540" i="7"/>
  <c r="P1541" i="7" s="1"/>
  <c r="L1714" i="7"/>
  <c r="M1713" i="7"/>
  <c r="O1541" i="7" l="1"/>
  <c r="N1541" i="7"/>
  <c r="P1542" i="7" s="1"/>
  <c r="M1714" i="7"/>
  <c r="L1715" i="7"/>
  <c r="O1542" i="7" l="1"/>
  <c r="N1542" i="7"/>
  <c r="P1543" i="7" s="1"/>
  <c r="L1716" i="7"/>
  <c r="M1715" i="7"/>
  <c r="O1543" i="7" l="1"/>
  <c r="N1543" i="7"/>
  <c r="P1544" i="7" s="1"/>
  <c r="M1716" i="7"/>
  <c r="L1717" i="7"/>
  <c r="O1544" i="7" l="1"/>
  <c r="N1544" i="7"/>
  <c r="P1545" i="7" s="1"/>
  <c r="M1717" i="7"/>
  <c r="L1718" i="7"/>
  <c r="O1545" i="7" l="1"/>
  <c r="N1545" i="7"/>
  <c r="P1546" i="7" s="1"/>
  <c r="L1719" i="7"/>
  <c r="M1718" i="7"/>
  <c r="O1546" i="7" l="1"/>
  <c r="N1546" i="7"/>
  <c r="P1547" i="7" s="1"/>
  <c r="L1720" i="7"/>
  <c r="M1719" i="7"/>
  <c r="O1547" i="7" l="1"/>
  <c r="N1547" i="7"/>
  <c r="P1548" i="7" s="1"/>
  <c r="L1721" i="7"/>
  <c r="M1720" i="7"/>
  <c r="O1548" i="7" l="1"/>
  <c r="N1548" i="7"/>
  <c r="P1549" i="7" s="1"/>
  <c r="L1722" i="7"/>
  <c r="M1721" i="7"/>
  <c r="O1549" i="7" l="1"/>
  <c r="N1549" i="7"/>
  <c r="P1550" i="7" s="1"/>
  <c r="M1722" i="7"/>
  <c r="L1723" i="7"/>
  <c r="O1550" i="7" l="1"/>
  <c r="N1550" i="7"/>
  <c r="P1551" i="7" s="1"/>
  <c r="M1723" i="7"/>
  <c r="L1724" i="7"/>
  <c r="O1551" i="7" l="1"/>
  <c r="N1551" i="7"/>
  <c r="P1552" i="7" s="1"/>
  <c r="M1724" i="7"/>
  <c r="L1725" i="7"/>
  <c r="O1552" i="7" l="1"/>
  <c r="N1552" i="7"/>
  <c r="P1553" i="7" s="1"/>
  <c r="M1725" i="7"/>
  <c r="L1726" i="7"/>
  <c r="O1553" i="7" l="1"/>
  <c r="N1553" i="7"/>
  <c r="P1554" i="7" s="1"/>
  <c r="L1727" i="7"/>
  <c r="M1726" i="7"/>
  <c r="O1554" i="7" l="1"/>
  <c r="N1554" i="7"/>
  <c r="P1555" i="7" s="1"/>
  <c r="M1727" i="7"/>
  <c r="L1728" i="7"/>
  <c r="O1555" i="7" l="1"/>
  <c r="N1555" i="7"/>
  <c r="P1556" i="7" s="1"/>
  <c r="L1729" i="7"/>
  <c r="M1728" i="7"/>
  <c r="O1556" i="7" l="1"/>
  <c r="N1556" i="7"/>
  <c r="P1557" i="7" s="1"/>
  <c r="L1730" i="7"/>
  <c r="M1729" i="7"/>
  <c r="O1557" i="7" l="1"/>
  <c r="N1557" i="7"/>
  <c r="P1558" i="7" s="1"/>
  <c r="M1730" i="7"/>
  <c r="L1731" i="7"/>
  <c r="O1558" i="7" l="1"/>
  <c r="N1558" i="7"/>
  <c r="P1559" i="7" s="1"/>
  <c r="L1732" i="7"/>
  <c r="M1731" i="7"/>
  <c r="O1559" i="7" l="1"/>
  <c r="N1559" i="7"/>
  <c r="P1560" i="7" s="1"/>
  <c r="M1732" i="7"/>
  <c r="L1733" i="7"/>
  <c r="O1560" i="7" l="1"/>
  <c r="N1560" i="7"/>
  <c r="P1561" i="7" s="1"/>
  <c r="M1733" i="7"/>
  <c r="L1734" i="7"/>
  <c r="O1561" i="7" l="1"/>
  <c r="N1561" i="7"/>
  <c r="P1562" i="7" s="1"/>
  <c r="L1735" i="7"/>
  <c r="M1734" i="7"/>
  <c r="O1562" i="7" l="1"/>
  <c r="N1562" i="7"/>
  <c r="P1563" i="7" s="1"/>
  <c r="M1735" i="7"/>
  <c r="L1736" i="7"/>
  <c r="O1563" i="7" l="1"/>
  <c r="N1563" i="7"/>
  <c r="P1564" i="7" s="1"/>
  <c r="L1737" i="7"/>
  <c r="M1736" i="7"/>
  <c r="O1564" i="7" l="1"/>
  <c r="N1564" i="7"/>
  <c r="P1565" i="7" s="1"/>
  <c r="L1738" i="7"/>
  <c r="M1737" i="7"/>
  <c r="O1565" i="7" l="1"/>
  <c r="N1565" i="7"/>
  <c r="P1566" i="7" s="1"/>
  <c r="M1738" i="7"/>
  <c r="L1739" i="7"/>
  <c r="O1566" i="7" l="1"/>
  <c r="N1566" i="7"/>
  <c r="P1567" i="7" s="1"/>
  <c r="M1739" i="7"/>
  <c r="L1740" i="7"/>
  <c r="O1567" i="7" l="1"/>
  <c r="N1567" i="7"/>
  <c r="P1568" i="7" s="1"/>
  <c r="M1740" i="7"/>
  <c r="L1741" i="7"/>
  <c r="O1568" i="7" l="1"/>
  <c r="N1568" i="7"/>
  <c r="P1569" i="7" s="1"/>
  <c r="M1741" i="7"/>
  <c r="L1742" i="7"/>
  <c r="O1569" i="7" l="1"/>
  <c r="N1569" i="7"/>
  <c r="P1570" i="7" s="1"/>
  <c r="L1743" i="7"/>
  <c r="M1742" i="7"/>
  <c r="O1570" i="7" l="1"/>
  <c r="N1570" i="7"/>
  <c r="P1571" i="7" s="1"/>
  <c r="M1743" i="7"/>
  <c r="L1744" i="7"/>
  <c r="O1571" i="7" l="1"/>
  <c r="N1571" i="7"/>
  <c r="P1572" i="7" s="1"/>
  <c r="L1745" i="7"/>
  <c r="M1744" i="7"/>
  <c r="O1572" i="7" l="1"/>
  <c r="N1572" i="7"/>
  <c r="P1573" i="7" s="1"/>
  <c r="L1746" i="7"/>
  <c r="M1745" i="7"/>
  <c r="O1573" i="7" l="1"/>
  <c r="N1573" i="7"/>
  <c r="P1574" i="7" s="1"/>
  <c r="M1746" i="7"/>
  <c r="L1747" i="7"/>
  <c r="O1574" i="7" l="1"/>
  <c r="N1574" i="7"/>
  <c r="P1575" i="7" s="1"/>
  <c r="L1748" i="7"/>
  <c r="M1747" i="7"/>
  <c r="O1575" i="7" l="1"/>
  <c r="N1575" i="7"/>
  <c r="P1576" i="7" s="1"/>
  <c r="M1748" i="7"/>
  <c r="L1749" i="7"/>
  <c r="O1576" i="7" l="1"/>
  <c r="N1576" i="7"/>
  <c r="P1577" i="7" s="1"/>
  <c r="M1749" i="7"/>
  <c r="L1750" i="7"/>
  <c r="O1577" i="7" l="1"/>
  <c r="N1577" i="7"/>
  <c r="P1578" i="7" s="1"/>
  <c r="L1751" i="7"/>
  <c r="M1750" i="7"/>
  <c r="O1578" i="7" l="1"/>
  <c r="N1578" i="7"/>
  <c r="P1579" i="7" s="1"/>
  <c r="L1752" i="7"/>
  <c r="M1751" i="7"/>
  <c r="O1579" i="7" l="1"/>
  <c r="N1579" i="7"/>
  <c r="P1580" i="7" s="1"/>
  <c r="L1753" i="7"/>
  <c r="M1752" i="7"/>
  <c r="O1580" i="7" l="1"/>
  <c r="N1580" i="7"/>
  <c r="P1581" i="7" s="1"/>
  <c r="L1754" i="7"/>
  <c r="M1753" i="7"/>
  <c r="O1581" i="7" l="1"/>
  <c r="N1581" i="7"/>
  <c r="P1582" i="7" s="1"/>
  <c r="M1754" i="7"/>
  <c r="L1755" i="7"/>
  <c r="O1582" i="7" l="1"/>
  <c r="N1582" i="7"/>
  <c r="P1583" i="7" s="1"/>
  <c r="L1756" i="7"/>
  <c r="M1755" i="7"/>
  <c r="O1583" i="7" l="1"/>
  <c r="N1583" i="7"/>
  <c r="P1584" i="7" s="1"/>
  <c r="M1756" i="7"/>
  <c r="L1757" i="7"/>
  <c r="O1584" i="7" l="1"/>
  <c r="N1584" i="7"/>
  <c r="P1585" i="7" s="1"/>
  <c r="M1757" i="7"/>
  <c r="L1758" i="7"/>
  <c r="O1585" i="7" l="1"/>
  <c r="N1585" i="7"/>
  <c r="P1586" i="7" s="1"/>
  <c r="L1759" i="7"/>
  <c r="M1758" i="7"/>
  <c r="O1586" i="7" l="1"/>
  <c r="N1586" i="7"/>
  <c r="P1587" i="7" s="1"/>
  <c r="L1760" i="7"/>
  <c r="M1759" i="7"/>
  <c r="O1587" i="7" l="1"/>
  <c r="N1587" i="7"/>
  <c r="P1588" i="7" s="1"/>
  <c r="L1761" i="7"/>
  <c r="M1760" i="7"/>
  <c r="O1588" i="7" l="1"/>
  <c r="N1588" i="7"/>
  <c r="P1589" i="7" s="1"/>
  <c r="L1762" i="7"/>
  <c r="M1761" i="7"/>
  <c r="O1589" i="7" l="1"/>
  <c r="N1589" i="7"/>
  <c r="P1590" i="7" s="1"/>
  <c r="M1762" i="7"/>
  <c r="L1763" i="7"/>
  <c r="O1590" i="7" l="1"/>
  <c r="N1590" i="7"/>
  <c r="P1591" i="7" s="1"/>
  <c r="L1764" i="7"/>
  <c r="M1763" i="7"/>
  <c r="O1591" i="7" l="1"/>
  <c r="N1591" i="7"/>
  <c r="P1592" i="7" s="1"/>
  <c r="M1764" i="7"/>
  <c r="L1765" i="7"/>
  <c r="O1592" i="7" l="1"/>
  <c r="N1592" i="7"/>
  <c r="P1593" i="7" s="1"/>
  <c r="M1765" i="7"/>
  <c r="L1766" i="7"/>
  <c r="O1593" i="7" l="1"/>
  <c r="N1593" i="7"/>
  <c r="P1594" i="7" s="1"/>
  <c r="L1767" i="7"/>
  <c r="M1766" i="7"/>
  <c r="O1594" i="7" l="1"/>
  <c r="N1594" i="7"/>
  <c r="P1595" i="7" s="1"/>
  <c r="M1767" i="7"/>
  <c r="L1768" i="7"/>
  <c r="O1595" i="7" l="1"/>
  <c r="N1595" i="7"/>
  <c r="P1596" i="7" s="1"/>
  <c r="L1769" i="7"/>
  <c r="M1768" i="7"/>
  <c r="O1596" i="7" l="1"/>
  <c r="N1596" i="7"/>
  <c r="P1597" i="7" s="1"/>
  <c r="L1770" i="7"/>
  <c r="M1769" i="7"/>
  <c r="O1597" i="7" l="1"/>
  <c r="N1597" i="7"/>
  <c r="P1598" i="7" s="1"/>
  <c r="M1770" i="7"/>
  <c r="L1771" i="7"/>
  <c r="O1598" i="7" l="1"/>
  <c r="N1598" i="7"/>
  <c r="P1599" i="7" s="1"/>
  <c r="L1772" i="7"/>
  <c r="M1771" i="7"/>
  <c r="O1599" i="7" l="1"/>
  <c r="N1599" i="7"/>
  <c r="P1600" i="7" s="1"/>
  <c r="M1772" i="7"/>
  <c r="L1773" i="7"/>
  <c r="O1600" i="7" l="1"/>
  <c r="N1600" i="7"/>
  <c r="P1601" i="7" s="1"/>
  <c r="M1773" i="7"/>
  <c r="L1774" i="7"/>
  <c r="O1601" i="7" l="1"/>
  <c r="N1601" i="7"/>
  <c r="P1602" i="7" s="1"/>
  <c r="L1775" i="7"/>
  <c r="M1774" i="7"/>
  <c r="O1602" i="7" l="1"/>
  <c r="N1602" i="7"/>
  <c r="P1603" i="7" s="1"/>
  <c r="M1775" i="7"/>
  <c r="L1776" i="7"/>
  <c r="O1603" i="7" l="1"/>
  <c r="N1603" i="7"/>
  <c r="P1604" i="7" s="1"/>
  <c r="L1777" i="7"/>
  <c r="M1776" i="7"/>
  <c r="O1604" i="7" l="1"/>
  <c r="N1604" i="7"/>
  <c r="P1605" i="7" s="1"/>
  <c r="L1778" i="7"/>
  <c r="M1777" i="7"/>
  <c r="O1605" i="7" l="1"/>
  <c r="N1605" i="7"/>
  <c r="P1606" i="7" s="1"/>
  <c r="M1778" i="7"/>
  <c r="L1779" i="7"/>
  <c r="O1606" i="7" l="1"/>
  <c r="N1606" i="7"/>
  <c r="P1607" i="7" s="1"/>
  <c r="L1780" i="7"/>
  <c r="M1779" i="7"/>
  <c r="O1607" i="7" l="1"/>
  <c r="N1607" i="7"/>
  <c r="P1608" i="7" s="1"/>
  <c r="M1780" i="7"/>
  <c r="L1781" i="7"/>
  <c r="O1608" i="7" l="1"/>
  <c r="N1608" i="7"/>
  <c r="P1609" i="7" s="1"/>
  <c r="M1781" i="7"/>
  <c r="L1782" i="7"/>
  <c r="O1609" i="7" l="1"/>
  <c r="N1609" i="7"/>
  <c r="P1610" i="7" s="1"/>
  <c r="L1783" i="7"/>
  <c r="M1782" i="7"/>
  <c r="O1610" i="7" l="1"/>
  <c r="N1610" i="7"/>
  <c r="P1611" i="7" s="1"/>
  <c r="M1783" i="7"/>
  <c r="L1784" i="7"/>
  <c r="O1611" i="7" l="1"/>
  <c r="N1611" i="7"/>
  <c r="P1612" i="7" s="1"/>
  <c r="L1785" i="7"/>
  <c r="M1784" i="7"/>
  <c r="O1612" i="7" l="1"/>
  <c r="N1612" i="7"/>
  <c r="P1613" i="7" s="1"/>
  <c r="L1786" i="7"/>
  <c r="M1785" i="7"/>
  <c r="O1613" i="7" l="1"/>
  <c r="N1613" i="7"/>
  <c r="P1614" i="7" s="1"/>
  <c r="M1786" i="7"/>
  <c r="L1787" i="7"/>
  <c r="O1614" i="7" l="1"/>
  <c r="N1614" i="7"/>
  <c r="P1615" i="7" s="1"/>
  <c r="L1788" i="7"/>
  <c r="M1787" i="7"/>
  <c r="O1615" i="7" l="1"/>
  <c r="N1615" i="7"/>
  <c r="P1616" i="7" s="1"/>
  <c r="M1788" i="7"/>
  <c r="L1789" i="7"/>
  <c r="O1616" i="7" l="1"/>
  <c r="N1616" i="7"/>
  <c r="P1617" i="7" s="1"/>
  <c r="M1789" i="7"/>
  <c r="L1790" i="7"/>
  <c r="O1617" i="7" l="1"/>
  <c r="N1617" i="7"/>
  <c r="P1618" i="7" s="1"/>
  <c r="L1791" i="7"/>
  <c r="M1790" i="7"/>
  <c r="O1618" i="7" l="1"/>
  <c r="N1618" i="7"/>
  <c r="P1619" i="7" s="1"/>
  <c r="M1791" i="7"/>
  <c r="L1792" i="7"/>
  <c r="O1619" i="7" l="1"/>
  <c r="N1619" i="7"/>
  <c r="P1620" i="7" s="1"/>
  <c r="L1793" i="7"/>
  <c r="M1792" i="7"/>
  <c r="O1620" i="7" l="1"/>
  <c r="N1620" i="7"/>
  <c r="P1621" i="7" s="1"/>
  <c r="L1794" i="7"/>
  <c r="M1793" i="7"/>
  <c r="O1621" i="7" l="1"/>
  <c r="N1621" i="7"/>
  <c r="P1622" i="7" s="1"/>
  <c r="M1794" i="7"/>
  <c r="L1795" i="7"/>
  <c r="O1622" i="7" l="1"/>
  <c r="N1622" i="7"/>
  <c r="P1623" i="7" s="1"/>
  <c r="L1796" i="7"/>
  <c r="M1795" i="7"/>
  <c r="O1623" i="7" l="1"/>
  <c r="N1623" i="7"/>
  <c r="P1624" i="7" s="1"/>
  <c r="M1796" i="7"/>
  <c r="L1797" i="7"/>
  <c r="O1624" i="7" l="1"/>
  <c r="N1624" i="7"/>
  <c r="P1625" i="7" s="1"/>
  <c r="M1797" i="7"/>
  <c r="L1798" i="7"/>
  <c r="O1625" i="7" l="1"/>
  <c r="N1625" i="7"/>
  <c r="P1626" i="7" s="1"/>
  <c r="L1799" i="7"/>
  <c r="M1798" i="7"/>
  <c r="O1626" i="7" l="1"/>
  <c r="N1626" i="7"/>
  <c r="P1627" i="7" s="1"/>
  <c r="M1799" i="7"/>
  <c r="L1800" i="7"/>
  <c r="O1627" i="7" l="1"/>
  <c r="N1627" i="7"/>
  <c r="P1628" i="7" s="1"/>
  <c r="L1801" i="7"/>
  <c r="M1800" i="7"/>
  <c r="O1628" i="7" l="1"/>
  <c r="N1628" i="7"/>
  <c r="P1629" i="7" s="1"/>
  <c r="L1802" i="7"/>
  <c r="M1801" i="7"/>
  <c r="O1629" i="7" l="1"/>
  <c r="N1629" i="7"/>
  <c r="P1630" i="7" s="1"/>
  <c r="M1802" i="7"/>
  <c r="L1803" i="7"/>
  <c r="O1630" i="7" l="1"/>
  <c r="N1630" i="7"/>
  <c r="P1631" i="7" s="1"/>
  <c r="L1804" i="7"/>
  <c r="M1803" i="7"/>
  <c r="O1631" i="7" l="1"/>
  <c r="N1631" i="7"/>
  <c r="P1632" i="7" s="1"/>
  <c r="M1804" i="7"/>
  <c r="L1805" i="7"/>
  <c r="O1632" i="7" l="1"/>
  <c r="N1632" i="7"/>
  <c r="P1633" i="7" s="1"/>
  <c r="M1805" i="7"/>
  <c r="L1806" i="7"/>
  <c r="O1633" i="7" l="1"/>
  <c r="N1633" i="7"/>
  <c r="P1634" i="7" s="1"/>
  <c r="L1807" i="7"/>
  <c r="M1806" i="7"/>
  <c r="O1634" i="7" l="1"/>
  <c r="N1634" i="7"/>
  <c r="P1635" i="7" s="1"/>
  <c r="M1807" i="7"/>
  <c r="L1808" i="7"/>
  <c r="O1635" i="7" l="1"/>
  <c r="N1635" i="7"/>
  <c r="P1636" i="7" s="1"/>
  <c r="L1809" i="7"/>
  <c r="M1808" i="7"/>
  <c r="O1636" i="7" l="1"/>
  <c r="N1636" i="7"/>
  <c r="P1637" i="7" s="1"/>
  <c r="L1810" i="7"/>
  <c r="M1809" i="7"/>
  <c r="O1637" i="7" l="1"/>
  <c r="N1637" i="7"/>
  <c r="P1638" i="7" s="1"/>
  <c r="M1810" i="7"/>
  <c r="L1811" i="7"/>
  <c r="O1638" i="7" l="1"/>
  <c r="N1638" i="7"/>
  <c r="P1639" i="7" s="1"/>
  <c r="L1812" i="7"/>
  <c r="M1811" i="7"/>
  <c r="O1639" i="7" l="1"/>
  <c r="N1639" i="7"/>
  <c r="P1640" i="7" s="1"/>
  <c r="M1812" i="7"/>
  <c r="L1813" i="7"/>
  <c r="O1640" i="7" l="1"/>
  <c r="N1640" i="7"/>
  <c r="P1641" i="7" s="1"/>
  <c r="M1813" i="7"/>
  <c r="L1814" i="7"/>
  <c r="O1641" i="7" l="1"/>
  <c r="N1641" i="7"/>
  <c r="P1642" i="7" s="1"/>
  <c r="L1815" i="7"/>
  <c r="M1814" i="7"/>
  <c r="O1642" i="7" l="1"/>
  <c r="N1642" i="7"/>
  <c r="P1643" i="7" s="1"/>
  <c r="M1815" i="7"/>
  <c r="L1816" i="7"/>
  <c r="O1643" i="7" l="1"/>
  <c r="N1643" i="7"/>
  <c r="P1644" i="7" s="1"/>
  <c r="L1817" i="7"/>
  <c r="M1816" i="7"/>
  <c r="O1644" i="7" l="1"/>
  <c r="N1644" i="7"/>
  <c r="P1645" i="7" s="1"/>
  <c r="L1818" i="7"/>
  <c r="M1817" i="7"/>
  <c r="O1645" i="7" l="1"/>
  <c r="N1645" i="7"/>
  <c r="P1646" i="7" s="1"/>
  <c r="M1818" i="7"/>
  <c r="L1819" i="7"/>
  <c r="O1646" i="7" l="1"/>
  <c r="N1646" i="7"/>
  <c r="P1647" i="7" s="1"/>
  <c r="L1820" i="7"/>
  <c r="M1819" i="7"/>
  <c r="O1647" i="7" l="1"/>
  <c r="N1647" i="7"/>
  <c r="P1648" i="7" s="1"/>
  <c r="M1820" i="7"/>
  <c r="L1821" i="7"/>
  <c r="O1648" i="7" l="1"/>
  <c r="N1648" i="7"/>
  <c r="P1649" i="7" s="1"/>
  <c r="M1821" i="7"/>
  <c r="L1822" i="7"/>
  <c r="O1649" i="7" l="1"/>
  <c r="N1649" i="7"/>
  <c r="P1650" i="7" s="1"/>
  <c r="L1823" i="7"/>
  <c r="M1822" i="7"/>
  <c r="O1650" i="7" l="1"/>
  <c r="N1650" i="7"/>
  <c r="P1651" i="7" s="1"/>
  <c r="M1823" i="7"/>
  <c r="L1824" i="7"/>
  <c r="O1651" i="7" l="1"/>
  <c r="N1651" i="7"/>
  <c r="P1652" i="7" s="1"/>
  <c r="L1825" i="7"/>
  <c r="M1824" i="7"/>
  <c r="O1652" i="7" l="1"/>
  <c r="N1652" i="7"/>
  <c r="P1653" i="7" s="1"/>
  <c r="L1826" i="7"/>
  <c r="M1825" i="7"/>
  <c r="O1653" i="7" l="1"/>
  <c r="N1653" i="7"/>
  <c r="P1654" i="7" s="1"/>
  <c r="M1826" i="7"/>
  <c r="L1827" i="7"/>
  <c r="O1654" i="7" l="1"/>
  <c r="N1654" i="7"/>
  <c r="P1655" i="7" s="1"/>
  <c r="L1828" i="7"/>
  <c r="M1827" i="7"/>
  <c r="O1655" i="7" l="1"/>
  <c r="N1655" i="7"/>
  <c r="P1656" i="7" s="1"/>
  <c r="M1828" i="7"/>
  <c r="L1829" i="7"/>
  <c r="O1656" i="7" l="1"/>
  <c r="N1656" i="7"/>
  <c r="P1657" i="7" s="1"/>
  <c r="M1829" i="7"/>
  <c r="L1830" i="7"/>
  <c r="O1657" i="7" l="1"/>
  <c r="N1657" i="7"/>
  <c r="P1658" i="7" s="1"/>
  <c r="L1831" i="7"/>
  <c r="M1830" i="7"/>
  <c r="O1658" i="7" l="1"/>
  <c r="N1658" i="7"/>
  <c r="P1659" i="7" s="1"/>
  <c r="M1831" i="7"/>
  <c r="L1832" i="7"/>
  <c r="O1659" i="7" l="1"/>
  <c r="N1659" i="7"/>
  <c r="P1660" i="7" s="1"/>
  <c r="L1833" i="7"/>
  <c r="M1832" i="7"/>
  <c r="O1660" i="7" l="1"/>
  <c r="N1660" i="7"/>
  <c r="P1661" i="7" s="1"/>
  <c r="L1834" i="7"/>
  <c r="M1833" i="7"/>
  <c r="O1661" i="7" l="1"/>
  <c r="N1661" i="7"/>
  <c r="P1662" i="7" s="1"/>
  <c r="M1834" i="7"/>
  <c r="L1835" i="7"/>
  <c r="O1662" i="7" l="1"/>
  <c r="N1662" i="7"/>
  <c r="P1663" i="7" s="1"/>
  <c r="L1836" i="7"/>
  <c r="M1835" i="7"/>
  <c r="O1663" i="7" l="1"/>
  <c r="N1663" i="7"/>
  <c r="P1664" i="7" s="1"/>
  <c r="M1836" i="7"/>
  <c r="L1837" i="7"/>
  <c r="O1664" i="7" l="1"/>
  <c r="N1664" i="7"/>
  <c r="P1665" i="7" s="1"/>
  <c r="M1837" i="7"/>
  <c r="L1838" i="7"/>
  <c r="O1665" i="7" l="1"/>
  <c r="N1665" i="7"/>
  <c r="P1666" i="7" s="1"/>
  <c r="L1839" i="7"/>
  <c r="M1838" i="7"/>
  <c r="O1666" i="7" l="1"/>
  <c r="N1666" i="7"/>
  <c r="P1667" i="7" s="1"/>
  <c r="M1839" i="7"/>
  <c r="L1840" i="7"/>
  <c r="O1667" i="7" l="1"/>
  <c r="N1667" i="7"/>
  <c r="P1668" i="7" s="1"/>
  <c r="L1841" i="7"/>
  <c r="M1840" i="7"/>
  <c r="O1668" i="7" l="1"/>
  <c r="N1668" i="7"/>
  <c r="P1669" i="7" s="1"/>
  <c r="L1842" i="7"/>
  <c r="M1841" i="7"/>
  <c r="O1669" i="7" l="1"/>
  <c r="N1669" i="7"/>
  <c r="P1670" i="7" s="1"/>
  <c r="M1842" i="7"/>
  <c r="L1843" i="7"/>
  <c r="O1670" i="7" l="1"/>
  <c r="N1670" i="7"/>
  <c r="P1671" i="7" s="1"/>
  <c r="L1844" i="7"/>
  <c r="M1843" i="7"/>
  <c r="O1671" i="7" l="1"/>
  <c r="N1671" i="7"/>
  <c r="P1672" i="7" s="1"/>
  <c r="M1844" i="7"/>
  <c r="L1845" i="7"/>
  <c r="O1672" i="7" l="1"/>
  <c r="N1672" i="7"/>
  <c r="P1673" i="7" s="1"/>
  <c r="M1845" i="7"/>
  <c r="L1846" i="7"/>
  <c r="O1673" i="7" l="1"/>
  <c r="N1673" i="7"/>
  <c r="P1674" i="7" s="1"/>
  <c r="L1847" i="7"/>
  <c r="M1846" i="7"/>
  <c r="O1674" i="7" l="1"/>
  <c r="N1674" i="7"/>
  <c r="P1675" i="7" s="1"/>
  <c r="M1847" i="7"/>
  <c r="L1848" i="7"/>
  <c r="O1675" i="7" l="1"/>
  <c r="N1675" i="7"/>
  <c r="P1676" i="7" s="1"/>
  <c r="L1849" i="7"/>
  <c r="M1848" i="7"/>
  <c r="O1676" i="7" l="1"/>
  <c r="N1676" i="7"/>
  <c r="P1677" i="7" s="1"/>
  <c r="L1850" i="7"/>
  <c r="M1849" i="7"/>
  <c r="O1677" i="7" l="1"/>
  <c r="N1677" i="7"/>
  <c r="P1678" i="7" s="1"/>
  <c r="M1850" i="7"/>
  <c r="L1851" i="7"/>
  <c r="O1678" i="7" l="1"/>
  <c r="N1678" i="7"/>
  <c r="P1679" i="7" s="1"/>
  <c r="L1852" i="7"/>
  <c r="M1851" i="7"/>
  <c r="O1679" i="7" l="1"/>
  <c r="N1679" i="7"/>
  <c r="P1680" i="7" s="1"/>
  <c r="M1852" i="7"/>
  <c r="L1853" i="7"/>
  <c r="O1680" i="7" l="1"/>
  <c r="N1680" i="7"/>
  <c r="P1681" i="7" s="1"/>
  <c r="M1853" i="7"/>
  <c r="L1854" i="7"/>
  <c r="O1681" i="7" l="1"/>
  <c r="N1681" i="7"/>
  <c r="P1682" i="7" s="1"/>
  <c r="L1855" i="7"/>
  <c r="M1854" i="7"/>
  <c r="O1682" i="7" l="1"/>
  <c r="N1682" i="7"/>
  <c r="P1683" i="7" s="1"/>
  <c r="M1855" i="7"/>
  <c r="L1856" i="7"/>
  <c r="O1683" i="7" l="1"/>
  <c r="N1683" i="7"/>
  <c r="P1684" i="7" s="1"/>
  <c r="L1857" i="7"/>
  <c r="M1856" i="7"/>
  <c r="O1684" i="7" l="1"/>
  <c r="N1684" i="7"/>
  <c r="P1685" i="7" s="1"/>
  <c r="L1858" i="7"/>
  <c r="M1857" i="7"/>
  <c r="O1685" i="7" l="1"/>
  <c r="N1685" i="7"/>
  <c r="P1686" i="7" s="1"/>
  <c r="M1858" i="7"/>
  <c r="L1859" i="7"/>
  <c r="O1686" i="7" l="1"/>
  <c r="N1686" i="7"/>
  <c r="P1687" i="7" s="1"/>
  <c r="L1860" i="7"/>
  <c r="M1859" i="7"/>
  <c r="O1687" i="7" l="1"/>
  <c r="N1687" i="7"/>
  <c r="P1688" i="7" s="1"/>
  <c r="M1860" i="7"/>
  <c r="L1861" i="7"/>
  <c r="O1688" i="7" l="1"/>
  <c r="N1688" i="7"/>
  <c r="P1689" i="7" s="1"/>
  <c r="L1862" i="7"/>
  <c r="M1861" i="7"/>
  <c r="O1689" i="7" l="1"/>
  <c r="N1689" i="7"/>
  <c r="P1690" i="7" s="1"/>
  <c r="M1862" i="7"/>
  <c r="L1863" i="7"/>
  <c r="O1690" i="7" l="1"/>
  <c r="N1690" i="7"/>
  <c r="P1691" i="7" s="1"/>
  <c r="L1864" i="7"/>
  <c r="M1863" i="7"/>
  <c r="O1691" i="7" l="1"/>
  <c r="N1691" i="7"/>
  <c r="P1692" i="7" s="1"/>
  <c r="M1864" i="7"/>
  <c r="L1865" i="7"/>
  <c r="O1692" i="7" l="1"/>
  <c r="N1692" i="7"/>
  <c r="P1693" i="7" s="1"/>
  <c r="L1866" i="7"/>
  <c r="M1865" i="7"/>
  <c r="O1693" i="7" l="1"/>
  <c r="N1693" i="7"/>
  <c r="P1694" i="7" s="1"/>
  <c r="L1867" i="7"/>
  <c r="M1866" i="7"/>
  <c r="O1694" i="7" l="1"/>
  <c r="N1694" i="7"/>
  <c r="P1695" i="7" s="1"/>
  <c r="M1867" i="7"/>
  <c r="L1868" i="7"/>
  <c r="O1695" i="7" l="1"/>
  <c r="N1695" i="7"/>
  <c r="P1696" i="7" s="1"/>
  <c r="L1869" i="7"/>
  <c r="M1868" i="7"/>
  <c r="O1696" i="7" l="1"/>
  <c r="N1696" i="7"/>
  <c r="P1697" i="7" s="1"/>
  <c r="L1870" i="7"/>
  <c r="M1869" i="7"/>
  <c r="O1697" i="7" l="1"/>
  <c r="N1697" i="7"/>
  <c r="P1698" i="7" s="1"/>
  <c r="M1870" i="7"/>
  <c r="L1871" i="7"/>
  <c r="O1698" i="7" l="1"/>
  <c r="N1698" i="7"/>
  <c r="P1699" i="7" s="1"/>
  <c r="L1872" i="7"/>
  <c r="M1871" i="7"/>
  <c r="O1699" i="7" l="1"/>
  <c r="N1699" i="7"/>
  <c r="P1700" i="7" s="1"/>
  <c r="M1872" i="7"/>
  <c r="L1873" i="7"/>
  <c r="O1700" i="7" l="1"/>
  <c r="N1700" i="7"/>
  <c r="P1701" i="7" s="1"/>
  <c r="L1874" i="7"/>
  <c r="M1873" i="7"/>
  <c r="O1701" i="7" l="1"/>
  <c r="N1701" i="7"/>
  <c r="P1702" i="7" s="1"/>
  <c r="L1875" i="7"/>
  <c r="M1874" i="7"/>
  <c r="O1702" i="7" l="1"/>
  <c r="N1702" i="7"/>
  <c r="P1703" i="7" s="1"/>
  <c r="M1875" i="7"/>
  <c r="L1876" i="7"/>
  <c r="O1703" i="7" l="1"/>
  <c r="N1703" i="7"/>
  <c r="P1704" i="7" s="1"/>
  <c r="L1877" i="7"/>
  <c r="M1876" i="7"/>
  <c r="O1704" i="7" l="1"/>
  <c r="N1704" i="7"/>
  <c r="P1705" i="7" s="1"/>
  <c r="L1878" i="7"/>
  <c r="M1877" i="7"/>
  <c r="O1705" i="7" l="1"/>
  <c r="N1705" i="7"/>
  <c r="P1706" i="7" s="1"/>
  <c r="M1878" i="7"/>
  <c r="L1879" i="7"/>
  <c r="O1706" i="7" l="1"/>
  <c r="N1706" i="7"/>
  <c r="P1707" i="7" s="1"/>
  <c r="L1880" i="7"/>
  <c r="M1879" i="7"/>
  <c r="O1707" i="7" l="1"/>
  <c r="N1707" i="7"/>
  <c r="P1708" i="7" s="1"/>
  <c r="M1880" i="7"/>
  <c r="L1881" i="7"/>
  <c r="O1708" i="7" l="1"/>
  <c r="N1708" i="7"/>
  <c r="P1709" i="7" s="1"/>
  <c r="L1882" i="7"/>
  <c r="M1881" i="7"/>
  <c r="O1709" i="7" l="1"/>
  <c r="N1709" i="7"/>
  <c r="P1710" i="7" s="1"/>
  <c r="L1883" i="7"/>
  <c r="M1882" i="7"/>
  <c r="O1710" i="7" l="1"/>
  <c r="N1710" i="7"/>
  <c r="P1711" i="7" s="1"/>
  <c r="M1883" i="7"/>
  <c r="L1884" i="7"/>
  <c r="O1711" i="7" l="1"/>
  <c r="N1711" i="7"/>
  <c r="P1712" i="7" s="1"/>
  <c r="L1885" i="7"/>
  <c r="M1884" i="7"/>
  <c r="O1712" i="7" l="1"/>
  <c r="N1712" i="7"/>
  <c r="P1713" i="7" s="1"/>
  <c r="L1886" i="7"/>
  <c r="M1885" i="7"/>
  <c r="O1713" i="7" l="1"/>
  <c r="N1713" i="7"/>
  <c r="P1714" i="7" s="1"/>
  <c r="M1886" i="7"/>
  <c r="L1887" i="7"/>
  <c r="O1714" i="7" l="1"/>
  <c r="N1714" i="7"/>
  <c r="P1715" i="7" s="1"/>
  <c r="L1888" i="7"/>
  <c r="M1887" i="7"/>
  <c r="O1715" i="7" l="1"/>
  <c r="N1715" i="7"/>
  <c r="P1716" i="7" s="1"/>
  <c r="M1888" i="7"/>
  <c r="L1889" i="7"/>
  <c r="O1716" i="7" l="1"/>
  <c r="N1716" i="7"/>
  <c r="P1717" i="7" s="1"/>
  <c r="L1890" i="7"/>
  <c r="M1889" i="7"/>
  <c r="O1717" i="7" l="1"/>
  <c r="N1717" i="7"/>
  <c r="P1718" i="7" s="1"/>
  <c r="L1891" i="7"/>
  <c r="M1890" i="7"/>
  <c r="O1718" i="7" l="1"/>
  <c r="N1718" i="7"/>
  <c r="P1719" i="7" s="1"/>
  <c r="M1891" i="7"/>
  <c r="L1892" i="7"/>
  <c r="O1719" i="7" l="1"/>
  <c r="N1719" i="7"/>
  <c r="P1720" i="7" s="1"/>
  <c r="L1893" i="7"/>
  <c r="M1892" i="7"/>
  <c r="O1720" i="7" l="1"/>
  <c r="N1720" i="7"/>
  <c r="P1721" i="7" s="1"/>
  <c r="L1894" i="7"/>
  <c r="M1893" i="7"/>
  <c r="O1721" i="7" l="1"/>
  <c r="N1721" i="7"/>
  <c r="P1722" i="7" s="1"/>
  <c r="M1894" i="7"/>
  <c r="L1895" i="7"/>
  <c r="O1722" i="7" l="1"/>
  <c r="N1722" i="7"/>
  <c r="P1723" i="7" s="1"/>
  <c r="L1896" i="7"/>
  <c r="M1895" i="7"/>
  <c r="O1723" i="7" l="1"/>
  <c r="N1723" i="7"/>
  <c r="P1724" i="7" s="1"/>
  <c r="M1896" i="7"/>
  <c r="L1897" i="7"/>
  <c r="O1724" i="7" l="1"/>
  <c r="N1724" i="7"/>
  <c r="P1725" i="7" s="1"/>
  <c r="L1898" i="7"/>
  <c r="M1897" i="7"/>
  <c r="O1725" i="7" l="1"/>
  <c r="N1725" i="7"/>
  <c r="P1726" i="7" s="1"/>
  <c r="L1899" i="7"/>
  <c r="M1898" i="7"/>
  <c r="O1726" i="7" l="1"/>
  <c r="N1726" i="7"/>
  <c r="P1727" i="7" s="1"/>
  <c r="M1899" i="7"/>
  <c r="L1900" i="7"/>
  <c r="O1727" i="7" l="1"/>
  <c r="N1727" i="7"/>
  <c r="P1728" i="7" s="1"/>
  <c r="L1901" i="7"/>
  <c r="M1900" i="7"/>
  <c r="O1728" i="7" l="1"/>
  <c r="N1728" i="7"/>
  <c r="P1729" i="7" s="1"/>
  <c r="L1902" i="7"/>
  <c r="M1901" i="7"/>
  <c r="O1729" i="7" l="1"/>
  <c r="N1729" i="7"/>
  <c r="P1730" i="7" s="1"/>
  <c r="M1902" i="7"/>
  <c r="L1903" i="7"/>
  <c r="O1730" i="7" l="1"/>
  <c r="N1730" i="7"/>
  <c r="P1731" i="7" s="1"/>
  <c r="L1904" i="7"/>
  <c r="M1903" i="7"/>
  <c r="O1731" i="7" l="1"/>
  <c r="N1731" i="7"/>
  <c r="P1732" i="7" s="1"/>
  <c r="M1904" i="7"/>
  <c r="L1905" i="7"/>
  <c r="O1732" i="7" l="1"/>
  <c r="N1732" i="7"/>
  <c r="P1733" i="7" s="1"/>
  <c r="L1906" i="7"/>
  <c r="M1905" i="7"/>
  <c r="O1733" i="7" l="1"/>
  <c r="N1733" i="7"/>
  <c r="P1734" i="7" s="1"/>
  <c r="L1907" i="7"/>
  <c r="M1906" i="7"/>
  <c r="O1734" i="7" l="1"/>
  <c r="N1734" i="7"/>
  <c r="P1735" i="7" s="1"/>
  <c r="M1907" i="7"/>
  <c r="L1908" i="7"/>
  <c r="O1735" i="7" l="1"/>
  <c r="N1735" i="7"/>
  <c r="P1736" i="7" s="1"/>
  <c r="L1909" i="7"/>
  <c r="M1908" i="7"/>
  <c r="O1736" i="7" l="1"/>
  <c r="N1736" i="7"/>
  <c r="P1737" i="7" s="1"/>
  <c r="M1909" i="7"/>
  <c r="L1910" i="7"/>
  <c r="O1737" i="7" l="1"/>
  <c r="N1737" i="7"/>
  <c r="P1738" i="7" s="1"/>
  <c r="M1910" i="7"/>
  <c r="L1911" i="7"/>
  <c r="O1738" i="7" l="1"/>
  <c r="N1738" i="7"/>
  <c r="P1739" i="7" s="1"/>
  <c r="L1912" i="7"/>
  <c r="M1911" i="7"/>
  <c r="O1739" i="7" l="1"/>
  <c r="N1739" i="7"/>
  <c r="P1740" i="7" s="1"/>
  <c r="M1912" i="7"/>
  <c r="L1913" i="7"/>
  <c r="O1740" i="7" l="1"/>
  <c r="N1740" i="7"/>
  <c r="P1741" i="7" s="1"/>
  <c r="M1913" i="7"/>
  <c r="L1914" i="7"/>
  <c r="O1741" i="7" l="1"/>
  <c r="N1741" i="7"/>
  <c r="P1742" i="7" s="1"/>
  <c r="L1915" i="7"/>
  <c r="M1914" i="7"/>
  <c r="O1742" i="7" l="1"/>
  <c r="N1742" i="7"/>
  <c r="P1743" i="7" s="1"/>
  <c r="M1915" i="7"/>
  <c r="L1916" i="7"/>
  <c r="O1743" i="7" l="1"/>
  <c r="N1743" i="7"/>
  <c r="P1744" i="7" s="1"/>
  <c r="L1917" i="7"/>
  <c r="M1916" i="7"/>
  <c r="O1744" i="7" l="1"/>
  <c r="N1744" i="7"/>
  <c r="P1745" i="7" s="1"/>
  <c r="M1917" i="7"/>
  <c r="L1918" i="7"/>
  <c r="O1745" i="7" l="1"/>
  <c r="N1745" i="7"/>
  <c r="P1746" i="7" s="1"/>
  <c r="M1918" i="7"/>
  <c r="L1919" i="7"/>
  <c r="O1746" i="7" l="1"/>
  <c r="N1746" i="7"/>
  <c r="P1747" i="7" s="1"/>
  <c r="L1920" i="7"/>
  <c r="M1919" i="7"/>
  <c r="O1747" i="7" l="1"/>
  <c r="N1747" i="7"/>
  <c r="P1748" i="7" s="1"/>
  <c r="M1920" i="7"/>
  <c r="L1921" i="7"/>
  <c r="O1748" i="7" l="1"/>
  <c r="N1748" i="7"/>
  <c r="P1749" i="7" s="1"/>
  <c r="L1922" i="7"/>
  <c r="M1921" i="7"/>
  <c r="O1749" i="7" l="1"/>
  <c r="N1749" i="7"/>
  <c r="P1750" i="7" s="1"/>
  <c r="L1923" i="7"/>
  <c r="M1922" i="7"/>
  <c r="O1750" i="7" l="1"/>
  <c r="N1750" i="7"/>
  <c r="P1751" i="7" s="1"/>
  <c r="M1923" i="7"/>
  <c r="L1924" i="7"/>
  <c r="O1751" i="7" l="1"/>
  <c r="N1751" i="7"/>
  <c r="P1752" i="7" s="1"/>
  <c r="L1925" i="7"/>
  <c r="M1924" i="7"/>
  <c r="O1752" i="7" l="1"/>
  <c r="N1752" i="7"/>
  <c r="P1753" i="7" s="1"/>
  <c r="L1926" i="7"/>
  <c r="M1925" i="7"/>
  <c r="O1753" i="7" l="1"/>
  <c r="N1753" i="7"/>
  <c r="P1754" i="7" s="1"/>
  <c r="M1926" i="7"/>
  <c r="L1927" i="7"/>
  <c r="O1754" i="7" l="1"/>
  <c r="N1754" i="7"/>
  <c r="P1755" i="7" s="1"/>
  <c r="L1928" i="7"/>
  <c r="M1927" i="7"/>
  <c r="O1755" i="7" l="1"/>
  <c r="N1755" i="7"/>
  <c r="P1756" i="7" s="1"/>
  <c r="M1928" i="7"/>
  <c r="L1929" i="7"/>
  <c r="O1756" i="7" l="1"/>
  <c r="N1756" i="7"/>
  <c r="P1757" i="7" s="1"/>
  <c r="L1930" i="7"/>
  <c r="M1929" i="7"/>
  <c r="O1757" i="7" l="1"/>
  <c r="N1757" i="7"/>
  <c r="P1758" i="7" s="1"/>
  <c r="L1931" i="7"/>
  <c r="M1930" i="7"/>
  <c r="O1758" i="7" l="1"/>
  <c r="N1758" i="7"/>
  <c r="P1759" i="7" s="1"/>
  <c r="M1931" i="7"/>
  <c r="L1932" i="7"/>
  <c r="O1759" i="7" l="1"/>
  <c r="N1759" i="7"/>
  <c r="P1760" i="7" s="1"/>
  <c r="L1933" i="7"/>
  <c r="M1932" i="7"/>
  <c r="O1760" i="7" l="1"/>
  <c r="N1760" i="7"/>
  <c r="P1761" i="7" s="1"/>
  <c r="L1934" i="7"/>
  <c r="M1933" i="7"/>
  <c r="O1761" i="7" l="1"/>
  <c r="N1761" i="7"/>
  <c r="P1762" i="7" s="1"/>
  <c r="M1934" i="7"/>
  <c r="L1935" i="7"/>
  <c r="O1762" i="7" l="1"/>
  <c r="N1762" i="7"/>
  <c r="P1763" i="7" s="1"/>
  <c r="L1936" i="7"/>
  <c r="M1935" i="7"/>
  <c r="O1763" i="7" l="1"/>
  <c r="N1763" i="7"/>
  <c r="P1764" i="7" s="1"/>
  <c r="M1936" i="7"/>
  <c r="L1937" i="7"/>
  <c r="O1764" i="7" l="1"/>
  <c r="N1764" i="7"/>
  <c r="P1765" i="7" s="1"/>
  <c r="L1938" i="7"/>
  <c r="M1937" i="7"/>
  <c r="O1765" i="7" l="1"/>
  <c r="N1765" i="7"/>
  <c r="P1766" i="7" s="1"/>
  <c r="L1939" i="7"/>
  <c r="M1938" i="7"/>
  <c r="O1766" i="7" l="1"/>
  <c r="N1766" i="7"/>
  <c r="P1767" i="7" s="1"/>
  <c r="M1939" i="7"/>
  <c r="L1940" i="7"/>
  <c r="O1767" i="7" l="1"/>
  <c r="N1767" i="7"/>
  <c r="P1768" i="7" s="1"/>
  <c r="L1941" i="7"/>
  <c r="M1940" i="7"/>
  <c r="O1768" i="7" l="1"/>
  <c r="N1768" i="7"/>
  <c r="P1769" i="7" s="1"/>
  <c r="L1942" i="7"/>
  <c r="M1941" i="7"/>
  <c r="O1769" i="7" l="1"/>
  <c r="N1769" i="7"/>
  <c r="P1770" i="7" s="1"/>
  <c r="M1942" i="7"/>
  <c r="L1943" i="7"/>
  <c r="O1770" i="7" l="1"/>
  <c r="N1770" i="7"/>
  <c r="P1771" i="7" s="1"/>
  <c r="L1944" i="7"/>
  <c r="M1943" i="7"/>
  <c r="O1771" i="7" l="1"/>
  <c r="N1771" i="7"/>
  <c r="P1772" i="7" s="1"/>
  <c r="M1944" i="7"/>
  <c r="L1945" i="7"/>
  <c r="O1772" i="7" l="1"/>
  <c r="N1772" i="7"/>
  <c r="P1773" i="7" s="1"/>
  <c r="L1946" i="7"/>
  <c r="M1945" i="7"/>
  <c r="O1773" i="7" l="1"/>
  <c r="N1773" i="7"/>
  <c r="P1774" i="7" s="1"/>
  <c r="L1947" i="7"/>
  <c r="M1946" i="7"/>
  <c r="O1774" i="7" l="1"/>
  <c r="N1774" i="7"/>
  <c r="P1775" i="7" s="1"/>
  <c r="L1948" i="7"/>
  <c r="M1947" i="7"/>
  <c r="O1775" i="7" l="1"/>
  <c r="N1775" i="7"/>
  <c r="P1776" i="7" s="1"/>
  <c r="L1949" i="7"/>
  <c r="M1948" i="7"/>
  <c r="O1776" i="7" l="1"/>
  <c r="N1776" i="7"/>
  <c r="P1777" i="7" s="1"/>
  <c r="L1950" i="7"/>
  <c r="M1949" i="7"/>
  <c r="O1777" i="7" l="1"/>
  <c r="N1777" i="7"/>
  <c r="P1778" i="7" s="1"/>
  <c r="M1950" i="7"/>
  <c r="L1951" i="7"/>
  <c r="O1778" i="7" l="1"/>
  <c r="N1778" i="7"/>
  <c r="P1779" i="7" s="1"/>
  <c r="L1952" i="7"/>
  <c r="M1951" i="7"/>
  <c r="O1779" i="7" l="1"/>
  <c r="N1779" i="7"/>
  <c r="P1780" i="7" s="1"/>
  <c r="M1952" i="7"/>
  <c r="L1953" i="7"/>
  <c r="O1780" i="7" l="1"/>
  <c r="N1780" i="7"/>
  <c r="P1781" i="7" s="1"/>
  <c r="M1953" i="7"/>
  <c r="L1954" i="7"/>
  <c r="O1781" i="7" l="1"/>
  <c r="N1781" i="7"/>
  <c r="P1782" i="7" s="1"/>
  <c r="L1955" i="7"/>
  <c r="M1954" i="7"/>
  <c r="O1782" i="7" l="1"/>
  <c r="N1782" i="7"/>
  <c r="P1783" i="7" s="1"/>
  <c r="M1955" i="7"/>
  <c r="L1956" i="7"/>
  <c r="O1783" i="7" l="1"/>
  <c r="N1783" i="7"/>
  <c r="P1784" i="7" s="1"/>
  <c r="L1957" i="7"/>
  <c r="M1956" i="7"/>
  <c r="O1784" i="7" l="1"/>
  <c r="N1784" i="7"/>
  <c r="P1785" i="7" s="1"/>
  <c r="L1958" i="7"/>
  <c r="M1957" i="7"/>
  <c r="O1785" i="7" l="1"/>
  <c r="N1785" i="7"/>
  <c r="P1786" i="7" s="1"/>
  <c r="M1958" i="7"/>
  <c r="L1959" i="7"/>
  <c r="O1786" i="7" l="1"/>
  <c r="N1786" i="7"/>
  <c r="P1787" i="7" s="1"/>
  <c r="L1960" i="7"/>
  <c r="M1959" i="7"/>
  <c r="O1787" i="7" l="1"/>
  <c r="N1787" i="7"/>
  <c r="P1788" i="7" s="1"/>
  <c r="L1961" i="7"/>
  <c r="M1960" i="7"/>
  <c r="O1788" i="7" l="1"/>
  <c r="N1788" i="7"/>
  <c r="P1789" i="7" s="1"/>
  <c r="M1961" i="7"/>
  <c r="L1962" i="7"/>
  <c r="O1789" i="7" l="1"/>
  <c r="N1789" i="7"/>
  <c r="P1790" i="7" s="1"/>
  <c r="L1963" i="7"/>
  <c r="M1962" i="7"/>
  <c r="O1790" i="7" l="1"/>
  <c r="N1790" i="7"/>
  <c r="P1791" i="7" s="1"/>
  <c r="M1963" i="7"/>
  <c r="L1964" i="7"/>
  <c r="O1791" i="7" l="1"/>
  <c r="N1791" i="7"/>
  <c r="P1792" i="7" s="1"/>
  <c r="L1965" i="7"/>
  <c r="M1964" i="7"/>
  <c r="O1792" i="7" l="1"/>
  <c r="N1792" i="7"/>
  <c r="P1793" i="7" s="1"/>
  <c r="L1966" i="7"/>
  <c r="M1965" i="7"/>
  <c r="O1793" i="7" l="1"/>
  <c r="N1793" i="7"/>
  <c r="P1794" i="7" s="1"/>
  <c r="M1966" i="7"/>
  <c r="L1967" i="7"/>
  <c r="O1794" i="7" l="1"/>
  <c r="N1794" i="7"/>
  <c r="P1795" i="7" s="1"/>
  <c r="L1968" i="7"/>
  <c r="M1967" i="7"/>
  <c r="O1795" i="7" l="1"/>
  <c r="N1795" i="7"/>
  <c r="P1796" i="7" s="1"/>
  <c r="L1969" i="7"/>
  <c r="M1968" i="7"/>
  <c r="O1796" i="7" l="1"/>
  <c r="N1796" i="7"/>
  <c r="P1797" i="7" s="1"/>
  <c r="M1969" i="7"/>
  <c r="L1970" i="7"/>
  <c r="O1797" i="7" l="1"/>
  <c r="N1797" i="7"/>
  <c r="P1798" i="7" s="1"/>
  <c r="L1971" i="7"/>
  <c r="M1970" i="7"/>
  <c r="O1798" i="7" l="1"/>
  <c r="N1798" i="7"/>
  <c r="P1799" i="7" s="1"/>
  <c r="M1971" i="7"/>
  <c r="L1972" i="7"/>
  <c r="O1799" i="7" l="1"/>
  <c r="N1799" i="7"/>
  <c r="P1800" i="7" s="1"/>
  <c r="L1973" i="7"/>
  <c r="M1972" i="7"/>
  <c r="O1800" i="7" l="1"/>
  <c r="N1800" i="7"/>
  <c r="P1801" i="7" s="1"/>
  <c r="L1974" i="7"/>
  <c r="M1973" i="7"/>
  <c r="O1801" i="7" l="1"/>
  <c r="N1801" i="7"/>
  <c r="P1802" i="7" s="1"/>
  <c r="M1974" i="7"/>
  <c r="L1975" i="7"/>
  <c r="O1802" i="7" l="1"/>
  <c r="N1802" i="7"/>
  <c r="P1803" i="7" s="1"/>
  <c r="L1976" i="7"/>
  <c r="M1975" i="7"/>
  <c r="O1803" i="7" l="1"/>
  <c r="N1803" i="7"/>
  <c r="P1804" i="7" s="1"/>
  <c r="M1976" i="7"/>
  <c r="L1977" i="7"/>
  <c r="O1804" i="7" l="1"/>
  <c r="N1804" i="7"/>
  <c r="P1805" i="7" s="1"/>
  <c r="M1977" i="7"/>
  <c r="L1978" i="7"/>
  <c r="O1805" i="7" l="1"/>
  <c r="N1805" i="7"/>
  <c r="P1806" i="7" s="1"/>
  <c r="L1979" i="7"/>
  <c r="M1978" i="7"/>
  <c r="O1806" i="7" l="1"/>
  <c r="N1806" i="7"/>
  <c r="P1807" i="7" s="1"/>
  <c r="M1979" i="7"/>
  <c r="L1980" i="7"/>
  <c r="O1807" i="7" l="1"/>
  <c r="N1807" i="7"/>
  <c r="P1808" i="7" s="1"/>
  <c r="M1980" i="7"/>
  <c r="L1981" i="7"/>
  <c r="O1808" i="7" l="1"/>
  <c r="N1808" i="7"/>
  <c r="P1809" i="7" s="1"/>
  <c r="L1982" i="7"/>
  <c r="M1981" i="7"/>
  <c r="O1809" i="7" l="1"/>
  <c r="N1809" i="7"/>
  <c r="P1810" i="7" s="1"/>
  <c r="M1982" i="7"/>
  <c r="L1983" i="7"/>
  <c r="O1810" i="7" l="1"/>
  <c r="N1810" i="7"/>
  <c r="P1811" i="7" s="1"/>
  <c r="L1984" i="7"/>
  <c r="M1983" i="7"/>
  <c r="O1811" i="7" l="1"/>
  <c r="N1811" i="7"/>
  <c r="P1812" i="7" s="1"/>
  <c r="M1984" i="7"/>
  <c r="L1985" i="7"/>
  <c r="O1812" i="7" l="1"/>
  <c r="N1812" i="7"/>
  <c r="P1813" i="7" s="1"/>
  <c r="M1985" i="7"/>
  <c r="L1986" i="7"/>
  <c r="O1813" i="7" l="1"/>
  <c r="N1813" i="7"/>
  <c r="P1814" i="7" s="1"/>
  <c r="L1987" i="7"/>
  <c r="M1986" i="7"/>
  <c r="O1814" i="7" l="1"/>
  <c r="N1814" i="7"/>
  <c r="P1815" i="7" s="1"/>
  <c r="M1987" i="7"/>
  <c r="L1988" i="7"/>
  <c r="O1815" i="7" l="1"/>
  <c r="N1815" i="7"/>
  <c r="P1816" i="7" s="1"/>
  <c r="L1989" i="7"/>
  <c r="M1988" i="7"/>
  <c r="O1816" i="7" l="1"/>
  <c r="N1816" i="7"/>
  <c r="P1817" i="7" s="1"/>
  <c r="L1990" i="7"/>
  <c r="M1989" i="7"/>
  <c r="O1817" i="7" l="1"/>
  <c r="N1817" i="7"/>
  <c r="P1818" i="7" s="1"/>
  <c r="M1990" i="7"/>
  <c r="L1991" i="7"/>
  <c r="O1818" i="7" l="1"/>
  <c r="N1818" i="7"/>
  <c r="P1819" i="7" s="1"/>
  <c r="L1992" i="7"/>
  <c r="M1991" i="7"/>
  <c r="O1819" i="7" l="1"/>
  <c r="N1819" i="7"/>
  <c r="P1820" i="7" s="1"/>
  <c r="L1993" i="7"/>
  <c r="M1992" i="7"/>
  <c r="O1820" i="7" l="1"/>
  <c r="N1820" i="7"/>
  <c r="P1821" i="7" s="1"/>
  <c r="M1993" i="7"/>
  <c r="L1994" i="7"/>
  <c r="O1821" i="7" l="1"/>
  <c r="N1821" i="7"/>
  <c r="P1822" i="7" s="1"/>
  <c r="L1995" i="7"/>
  <c r="M1994" i="7"/>
  <c r="O1822" i="7" l="1"/>
  <c r="N1822" i="7"/>
  <c r="P1823" i="7" s="1"/>
  <c r="L1996" i="7"/>
  <c r="M1995" i="7"/>
  <c r="O1823" i="7" l="1"/>
  <c r="N1823" i="7"/>
  <c r="P1824" i="7" s="1"/>
  <c r="L1997" i="7"/>
  <c r="M1996" i="7"/>
  <c r="O1824" i="7" l="1"/>
  <c r="N1824" i="7"/>
  <c r="P1825" i="7" s="1"/>
  <c r="L1998" i="7"/>
  <c r="M1997" i="7"/>
  <c r="O1825" i="7" l="1"/>
  <c r="N1825" i="7"/>
  <c r="P1826" i="7" s="1"/>
  <c r="L1999" i="7"/>
  <c r="M1998" i="7"/>
  <c r="O1826" i="7" l="1"/>
  <c r="N1826" i="7"/>
  <c r="P1827" i="7" s="1"/>
  <c r="M1999" i="7"/>
  <c r="L2000" i="7"/>
  <c r="O1827" i="7" l="1"/>
  <c r="N1827" i="7"/>
  <c r="P1828" i="7" s="1"/>
  <c r="M2000" i="7"/>
  <c r="L2001" i="7"/>
  <c r="O1828" i="7" l="1"/>
  <c r="N1828" i="7"/>
  <c r="P1829" i="7" s="1"/>
  <c r="M2001" i="7"/>
  <c r="L2002" i="7"/>
  <c r="O1829" i="7" l="1"/>
  <c r="N1829" i="7"/>
  <c r="P1830" i="7" s="1"/>
  <c r="L2003" i="7"/>
  <c r="M2002" i="7"/>
  <c r="O1830" i="7" l="1"/>
  <c r="N1830" i="7"/>
  <c r="P1831" i="7" s="1"/>
  <c r="L2004" i="7"/>
  <c r="M2003" i="7"/>
  <c r="O1831" i="7" l="1"/>
  <c r="N1831" i="7"/>
  <c r="P1832" i="7" s="1"/>
  <c r="L2005" i="7"/>
  <c r="M2004" i="7"/>
  <c r="O1832" i="7" l="1"/>
  <c r="N1832" i="7"/>
  <c r="P1833" i="7" s="1"/>
  <c r="L2006" i="7"/>
  <c r="M2005" i="7"/>
  <c r="O1833" i="7" l="1"/>
  <c r="N1833" i="7"/>
  <c r="P1834" i="7" s="1"/>
  <c r="L2007" i="7"/>
  <c r="M2006" i="7"/>
  <c r="O1834" i="7" l="1"/>
  <c r="N1834" i="7"/>
  <c r="P1835" i="7" s="1"/>
  <c r="M2007" i="7"/>
  <c r="L2008" i="7"/>
  <c r="O1835" i="7" l="1"/>
  <c r="N1835" i="7"/>
  <c r="P1836" i="7" s="1"/>
  <c r="M2008" i="7"/>
  <c r="L2009" i="7"/>
  <c r="O1836" i="7" l="1"/>
  <c r="N1836" i="7"/>
  <c r="P1837" i="7" s="1"/>
  <c r="M2009" i="7"/>
  <c r="L2010" i="7"/>
  <c r="O1837" i="7" l="1"/>
  <c r="N1837" i="7"/>
  <c r="P1838" i="7" s="1"/>
  <c r="L2011" i="7"/>
  <c r="M2010" i="7"/>
  <c r="O1838" i="7" l="1"/>
  <c r="N1838" i="7"/>
  <c r="P1839" i="7" s="1"/>
  <c r="L2012" i="7"/>
  <c r="M2011" i="7"/>
  <c r="O1839" i="7" l="1"/>
  <c r="N1839" i="7"/>
  <c r="P1840" i="7" s="1"/>
  <c r="L2013" i="7"/>
  <c r="M2012" i="7"/>
  <c r="O1840" i="7" l="1"/>
  <c r="N1840" i="7"/>
  <c r="P1841" i="7" s="1"/>
  <c r="L2014" i="7"/>
  <c r="M2013" i="7"/>
  <c r="O1841" i="7" l="1"/>
  <c r="N1841" i="7"/>
  <c r="P1842" i="7" s="1"/>
  <c r="L2015" i="7"/>
  <c r="M2014" i="7"/>
  <c r="O1842" i="7" l="1"/>
  <c r="N1842" i="7"/>
  <c r="P1843" i="7" s="1"/>
  <c r="M2015" i="7"/>
  <c r="L2016" i="7"/>
  <c r="O1843" i="7" l="1"/>
  <c r="N1843" i="7"/>
  <c r="P1844" i="7" s="1"/>
  <c r="M2016" i="7"/>
  <c r="L2017" i="7"/>
  <c r="O1844" i="7" l="1"/>
  <c r="N1844" i="7"/>
  <c r="P1845" i="7" s="1"/>
  <c r="M2017" i="7"/>
  <c r="L2018" i="7"/>
  <c r="O1845" i="7" l="1"/>
  <c r="N1845" i="7"/>
  <c r="P1846" i="7" s="1"/>
  <c r="M2018" i="7"/>
  <c r="L2019" i="7"/>
  <c r="O1846" i="7" l="1"/>
  <c r="N1846" i="7"/>
  <c r="P1847" i="7" s="1"/>
  <c r="L2020" i="7"/>
  <c r="M2019" i="7"/>
  <c r="O1847" i="7" l="1"/>
  <c r="N1847" i="7"/>
  <c r="P1848" i="7" s="1"/>
  <c r="L2021" i="7"/>
  <c r="M2020" i="7"/>
  <c r="O1848" i="7" l="1"/>
  <c r="N1848" i="7"/>
  <c r="P1849" i="7" s="1"/>
  <c r="L2022" i="7"/>
  <c r="M2021" i="7"/>
  <c r="O1849" i="7" l="1"/>
  <c r="N1849" i="7"/>
  <c r="P1850" i="7" s="1"/>
  <c r="M2022" i="7"/>
  <c r="L2023" i="7"/>
  <c r="O1850" i="7" l="1"/>
  <c r="N1850" i="7"/>
  <c r="P1851" i="7" s="1"/>
  <c r="M2023" i="7"/>
  <c r="L2024" i="7"/>
  <c r="O1851" i="7" l="1"/>
  <c r="N1851" i="7"/>
  <c r="P1852" i="7" s="1"/>
  <c r="M2024" i="7"/>
  <c r="L2025" i="7"/>
  <c r="O1852" i="7" l="1"/>
  <c r="N1852" i="7"/>
  <c r="P1853" i="7" s="1"/>
  <c r="M2025" i="7"/>
  <c r="L2026" i="7"/>
  <c r="O1853" i="7" l="1"/>
  <c r="N1853" i="7"/>
  <c r="P1854" i="7" s="1"/>
  <c r="L2027" i="7"/>
  <c r="M2026" i="7"/>
  <c r="O1854" i="7" l="1"/>
  <c r="N1854" i="7"/>
  <c r="P1855" i="7" s="1"/>
  <c r="L2028" i="7"/>
  <c r="M2027" i="7"/>
  <c r="O1855" i="7" l="1"/>
  <c r="N1855" i="7"/>
  <c r="P1856" i="7" s="1"/>
  <c r="L2029" i="7"/>
  <c r="M2028" i="7"/>
  <c r="O1856" i="7" l="1"/>
  <c r="N1856" i="7"/>
  <c r="P1857" i="7" s="1"/>
  <c r="L2030" i="7"/>
  <c r="M2029" i="7"/>
  <c r="O1857" i="7" l="1"/>
  <c r="N1857" i="7"/>
  <c r="P1858" i="7" s="1"/>
  <c r="L2031" i="7"/>
  <c r="M2030" i="7"/>
  <c r="O1858" i="7" l="1"/>
  <c r="N1858" i="7"/>
  <c r="P1859" i="7" s="1"/>
  <c r="M2031" i="7"/>
  <c r="L2032" i="7"/>
  <c r="O1859" i="7" l="1"/>
  <c r="N1859" i="7"/>
  <c r="P1860" i="7" s="1"/>
  <c r="M2032" i="7"/>
  <c r="L2033" i="7"/>
  <c r="O1860" i="7" l="1"/>
  <c r="N1860" i="7"/>
  <c r="P1861" i="7" s="1"/>
  <c r="M2033" i="7"/>
  <c r="L2034" i="7"/>
  <c r="O1861" i="7" l="1"/>
  <c r="N1861" i="7"/>
  <c r="P1862" i="7" s="1"/>
  <c r="L2035" i="7"/>
  <c r="M2034" i="7"/>
  <c r="O1862" i="7" l="1"/>
  <c r="N1862" i="7"/>
  <c r="P1863" i="7" s="1"/>
  <c r="L2036" i="7"/>
  <c r="M2035" i="7"/>
  <c r="O1863" i="7" l="1"/>
  <c r="N1863" i="7"/>
  <c r="P1864" i="7" s="1"/>
  <c r="L2037" i="7"/>
  <c r="M2036" i="7"/>
  <c r="O1864" i="7" l="1"/>
  <c r="N1864" i="7"/>
  <c r="P1865" i="7" s="1"/>
  <c r="L2038" i="7"/>
  <c r="M2037" i="7"/>
  <c r="O1865" i="7" l="1"/>
  <c r="N1865" i="7"/>
  <c r="P1866" i="7" s="1"/>
  <c r="L2039" i="7"/>
  <c r="M2038" i="7"/>
  <c r="O1866" i="7" l="1"/>
  <c r="N1866" i="7"/>
  <c r="P1867" i="7" s="1"/>
  <c r="M2039" i="7"/>
  <c r="L2040" i="7"/>
  <c r="O1867" i="7" l="1"/>
  <c r="N1867" i="7"/>
  <c r="P1868" i="7" s="1"/>
  <c r="M2040" i="7"/>
  <c r="L2041" i="7"/>
  <c r="O1868" i="7" l="1"/>
  <c r="N1868" i="7"/>
  <c r="P1869" i="7" s="1"/>
  <c r="M2041" i="7"/>
  <c r="L2042" i="7"/>
  <c r="O1869" i="7" l="1"/>
  <c r="N1869" i="7"/>
  <c r="P1870" i="7" s="1"/>
  <c r="L2043" i="7"/>
  <c r="M2042" i="7"/>
  <c r="O1870" i="7" l="1"/>
  <c r="N1870" i="7"/>
  <c r="P1871" i="7" s="1"/>
  <c r="L2044" i="7"/>
  <c r="M2043" i="7"/>
  <c r="O1871" i="7" l="1"/>
  <c r="N1871" i="7"/>
  <c r="P1872" i="7" s="1"/>
  <c r="L2045" i="7"/>
  <c r="M2044" i="7"/>
  <c r="O1872" i="7" l="1"/>
  <c r="N1872" i="7"/>
  <c r="P1873" i="7" s="1"/>
  <c r="L2046" i="7"/>
  <c r="M2045" i="7"/>
  <c r="O1873" i="7" l="1"/>
  <c r="N1873" i="7"/>
  <c r="P1874" i="7" s="1"/>
  <c r="M2046" i="7"/>
  <c r="L2047" i="7"/>
  <c r="O1874" i="7" l="1"/>
  <c r="N1874" i="7"/>
  <c r="P1875" i="7" s="1"/>
  <c r="M2047" i="7"/>
  <c r="L2048" i="7"/>
  <c r="O1875" i="7" l="1"/>
  <c r="N1875" i="7"/>
  <c r="P1876" i="7" s="1"/>
  <c r="M2048" i="7"/>
  <c r="L2049" i="7"/>
  <c r="O1876" i="7" l="1"/>
  <c r="N1876" i="7"/>
  <c r="P1877" i="7" s="1"/>
  <c r="M2049" i="7"/>
  <c r="L2050" i="7"/>
  <c r="O1877" i="7" l="1"/>
  <c r="N1877" i="7"/>
  <c r="P1878" i="7" s="1"/>
  <c r="M2050" i="7"/>
  <c r="L2051" i="7"/>
  <c r="O1878" i="7" l="1"/>
  <c r="N1878" i="7"/>
  <c r="P1879" i="7" s="1"/>
  <c r="L2052" i="7"/>
  <c r="M2051" i="7"/>
  <c r="O1879" i="7" l="1"/>
  <c r="N1879" i="7"/>
  <c r="P1880" i="7" s="1"/>
  <c r="L2053" i="7"/>
  <c r="M2052" i="7"/>
  <c r="O1880" i="7" l="1"/>
  <c r="N1880" i="7"/>
  <c r="P1881" i="7" s="1"/>
  <c r="L2054" i="7"/>
  <c r="M2053" i="7"/>
  <c r="O1881" i="7" l="1"/>
  <c r="N1881" i="7"/>
  <c r="P1882" i="7" s="1"/>
  <c r="M2054" i="7"/>
  <c r="L2055" i="7"/>
  <c r="O1882" i="7" l="1"/>
  <c r="N1882" i="7"/>
  <c r="P1883" i="7" s="1"/>
  <c r="M2055" i="7"/>
  <c r="L2056" i="7"/>
  <c r="O1883" i="7" l="1"/>
  <c r="N1883" i="7"/>
  <c r="P1884" i="7" s="1"/>
  <c r="M2056" i="7"/>
  <c r="L2057" i="7"/>
  <c r="O1884" i="7" l="1"/>
  <c r="N1884" i="7"/>
  <c r="P1885" i="7" s="1"/>
  <c r="M2057" i="7"/>
  <c r="L2058" i="7"/>
  <c r="O1885" i="7" l="1"/>
  <c r="N1885" i="7"/>
  <c r="P1886" i="7" s="1"/>
  <c r="L2059" i="7"/>
  <c r="M2058" i="7"/>
  <c r="O1886" i="7" l="1"/>
  <c r="N1886" i="7"/>
  <c r="P1887" i="7" s="1"/>
  <c r="L2060" i="7"/>
  <c r="M2059" i="7"/>
  <c r="O1887" i="7" l="1"/>
  <c r="N1887" i="7"/>
  <c r="P1888" i="7" s="1"/>
  <c r="L2061" i="7"/>
  <c r="M2060" i="7"/>
  <c r="O1888" i="7" l="1"/>
  <c r="N1888" i="7"/>
  <c r="P1889" i="7" s="1"/>
  <c r="L2062" i="7"/>
  <c r="M2061" i="7"/>
  <c r="O1889" i="7" l="1"/>
  <c r="N1889" i="7"/>
  <c r="P1890" i="7" s="1"/>
  <c r="L2063" i="7"/>
  <c r="M2062" i="7"/>
  <c r="O1890" i="7" l="1"/>
  <c r="N1890" i="7"/>
  <c r="P1891" i="7" s="1"/>
  <c r="M2063" i="7"/>
  <c r="L2064" i="7"/>
  <c r="O1891" i="7" l="1"/>
  <c r="N1891" i="7"/>
  <c r="P1892" i="7" s="1"/>
  <c r="M2064" i="7"/>
  <c r="L2065" i="7"/>
  <c r="O1892" i="7" l="1"/>
  <c r="N1892" i="7"/>
  <c r="P1893" i="7" s="1"/>
  <c r="M2065" i="7"/>
  <c r="L2066" i="7"/>
  <c r="O1893" i="7" l="1"/>
  <c r="N1893" i="7"/>
  <c r="P1894" i="7" s="1"/>
  <c r="L2067" i="7"/>
  <c r="M2066" i="7"/>
  <c r="O1894" i="7" l="1"/>
  <c r="N1894" i="7"/>
  <c r="P1895" i="7" s="1"/>
  <c r="L2068" i="7"/>
  <c r="M2067" i="7"/>
  <c r="O1895" i="7" l="1"/>
  <c r="N1895" i="7"/>
  <c r="P1896" i="7" s="1"/>
  <c r="L2069" i="7"/>
  <c r="M2068" i="7"/>
  <c r="O1896" i="7" l="1"/>
  <c r="N1896" i="7"/>
  <c r="P1897" i="7" s="1"/>
  <c r="L2070" i="7"/>
  <c r="M2069" i="7"/>
  <c r="O1897" i="7" l="1"/>
  <c r="N1897" i="7"/>
  <c r="P1898" i="7" s="1"/>
  <c r="L2071" i="7"/>
  <c r="M2070" i="7"/>
  <c r="O1898" i="7" l="1"/>
  <c r="N1898" i="7"/>
  <c r="P1899" i="7" s="1"/>
  <c r="M2071" i="7"/>
  <c r="L2072" i="7"/>
  <c r="O1899" i="7" l="1"/>
  <c r="N1899" i="7"/>
  <c r="P1900" i="7" s="1"/>
  <c r="M2072" i="7"/>
  <c r="L2073" i="7"/>
  <c r="O1900" i="7" l="1"/>
  <c r="N1900" i="7"/>
  <c r="P1901" i="7" s="1"/>
  <c r="M2073" i="7"/>
  <c r="L2074" i="7"/>
  <c r="O1901" i="7" l="1"/>
  <c r="N1901" i="7"/>
  <c r="P1902" i="7" s="1"/>
  <c r="L2075" i="7"/>
  <c r="M2074" i="7"/>
  <c r="O1902" i="7" l="1"/>
  <c r="N1902" i="7"/>
  <c r="P1903" i="7" s="1"/>
  <c r="L2076" i="7"/>
  <c r="M2075" i="7"/>
  <c r="O1903" i="7" l="1"/>
  <c r="N1903" i="7"/>
  <c r="P1904" i="7" s="1"/>
  <c r="L2077" i="7"/>
  <c r="M2076" i="7"/>
  <c r="O1904" i="7" l="1"/>
  <c r="N1904" i="7"/>
  <c r="P1905" i="7" s="1"/>
  <c r="L2078" i="7"/>
  <c r="M2077" i="7"/>
  <c r="O1905" i="7" l="1"/>
  <c r="N1905" i="7"/>
  <c r="P1906" i="7" s="1"/>
  <c r="L2079" i="7"/>
  <c r="M2078" i="7"/>
  <c r="O1906" i="7" l="1"/>
  <c r="N1906" i="7"/>
  <c r="P1907" i="7" s="1"/>
  <c r="M2079" i="7"/>
  <c r="L2080" i="7"/>
  <c r="O1907" i="7" l="1"/>
  <c r="N1907" i="7"/>
  <c r="P1908" i="7" s="1"/>
  <c r="M2080" i="7"/>
  <c r="L2081" i="7"/>
  <c r="O1908" i="7" l="1"/>
  <c r="N1908" i="7"/>
  <c r="P1909" i="7" s="1"/>
  <c r="M2081" i="7"/>
  <c r="L2082" i="7"/>
  <c r="O1909" i="7" l="1"/>
  <c r="N1909" i="7"/>
  <c r="P1910" i="7" s="1"/>
  <c r="M2082" i="7"/>
  <c r="L2083" i="7"/>
  <c r="O1910" i="7" l="1"/>
  <c r="N1910" i="7"/>
  <c r="P1911" i="7" s="1"/>
  <c r="L2084" i="7"/>
  <c r="M2083" i="7"/>
  <c r="O1911" i="7" l="1"/>
  <c r="N1911" i="7"/>
  <c r="P1912" i="7" s="1"/>
  <c r="L2085" i="7"/>
  <c r="M2084" i="7"/>
  <c r="O1912" i="7" l="1"/>
  <c r="N1912" i="7"/>
  <c r="P1913" i="7" s="1"/>
  <c r="L2086" i="7"/>
  <c r="M2085" i="7"/>
  <c r="O1913" i="7" l="1"/>
  <c r="N1913" i="7"/>
  <c r="P1914" i="7" s="1"/>
  <c r="M2086" i="7"/>
  <c r="L2087" i="7"/>
  <c r="O1914" i="7" l="1"/>
  <c r="N1914" i="7"/>
  <c r="P1915" i="7" s="1"/>
  <c r="M2087" i="7"/>
  <c r="L2088" i="7"/>
  <c r="O1915" i="7" l="1"/>
  <c r="N1915" i="7"/>
  <c r="P1916" i="7" s="1"/>
  <c r="M2088" i="7"/>
  <c r="L2089" i="7"/>
  <c r="O1916" i="7" l="1"/>
  <c r="N1916" i="7"/>
  <c r="P1917" i="7" s="1"/>
  <c r="M2089" i="7"/>
  <c r="L2090" i="7"/>
  <c r="O1917" i="7" l="1"/>
  <c r="N1917" i="7"/>
  <c r="P1918" i="7" s="1"/>
  <c r="L2091" i="7"/>
  <c r="M2090" i="7"/>
  <c r="O1918" i="7" l="1"/>
  <c r="N1918" i="7"/>
  <c r="P1919" i="7" s="1"/>
  <c r="L2092" i="7"/>
  <c r="M2091" i="7"/>
  <c r="O1919" i="7" l="1"/>
  <c r="N1919" i="7"/>
  <c r="P1920" i="7" s="1"/>
  <c r="L2093" i="7"/>
  <c r="M2092" i="7"/>
  <c r="O1920" i="7" l="1"/>
  <c r="N1920" i="7"/>
  <c r="P1921" i="7" s="1"/>
  <c r="L2094" i="7"/>
  <c r="M2093" i="7"/>
  <c r="O1921" i="7" l="1"/>
  <c r="N1921" i="7"/>
  <c r="P1922" i="7" s="1"/>
  <c r="L2095" i="7"/>
  <c r="M2094" i="7"/>
  <c r="O1922" i="7" l="1"/>
  <c r="N1922" i="7"/>
  <c r="P1923" i="7" s="1"/>
  <c r="M2095" i="7"/>
  <c r="L2096" i="7"/>
  <c r="O1923" i="7" l="1"/>
  <c r="N1923" i="7"/>
  <c r="P1924" i="7" s="1"/>
  <c r="M2096" i="7"/>
  <c r="L2097" i="7"/>
  <c r="O1924" i="7" l="1"/>
  <c r="N1924" i="7"/>
  <c r="P1925" i="7" s="1"/>
  <c r="M2097" i="7"/>
  <c r="L2098" i="7"/>
  <c r="O1925" i="7" l="1"/>
  <c r="N1925" i="7"/>
  <c r="P1926" i="7" s="1"/>
  <c r="L2099" i="7"/>
  <c r="M2098" i="7"/>
  <c r="O1926" i="7" l="1"/>
  <c r="N1926" i="7"/>
  <c r="P1927" i="7" s="1"/>
  <c r="L2100" i="7"/>
  <c r="M2099" i="7"/>
  <c r="O1927" i="7" l="1"/>
  <c r="N1927" i="7"/>
  <c r="P1928" i="7" s="1"/>
  <c r="L2101" i="7"/>
  <c r="M2100" i="7"/>
  <c r="O1928" i="7" l="1"/>
  <c r="N1928" i="7"/>
  <c r="P1929" i="7" s="1"/>
  <c r="L2102" i="7"/>
  <c r="M2101" i="7"/>
  <c r="O1929" i="7" l="1"/>
  <c r="N1929" i="7"/>
  <c r="P1930" i="7" s="1"/>
  <c r="L2103" i="7"/>
  <c r="M2102" i="7"/>
  <c r="O1930" i="7" l="1"/>
  <c r="N1930" i="7"/>
  <c r="P1931" i="7" s="1"/>
  <c r="M2103" i="7"/>
  <c r="L2104" i="7"/>
  <c r="O1931" i="7" l="1"/>
  <c r="N1931" i="7"/>
  <c r="P1932" i="7" s="1"/>
  <c r="M2104" i="7"/>
  <c r="L2105" i="7"/>
  <c r="O1932" i="7" l="1"/>
  <c r="N1932" i="7"/>
  <c r="P1933" i="7" s="1"/>
  <c r="M2105" i="7"/>
  <c r="L2106" i="7"/>
  <c r="O1933" i="7" l="1"/>
  <c r="N1933" i="7"/>
  <c r="P1934" i="7" s="1"/>
  <c r="L2107" i="7"/>
  <c r="M2106" i="7"/>
  <c r="O1934" i="7" l="1"/>
  <c r="N1934" i="7"/>
  <c r="P1935" i="7" s="1"/>
  <c r="L2108" i="7"/>
  <c r="M2107" i="7"/>
  <c r="O1935" i="7" l="1"/>
  <c r="N1935" i="7"/>
  <c r="P1936" i="7" s="1"/>
  <c r="L2109" i="7"/>
  <c r="M2108" i="7"/>
  <c r="O1936" i="7" l="1"/>
  <c r="N1936" i="7"/>
  <c r="P1937" i="7" s="1"/>
  <c r="L2110" i="7"/>
  <c r="M2109" i="7"/>
  <c r="O1937" i="7" l="1"/>
  <c r="N1937" i="7"/>
  <c r="P1938" i="7" s="1"/>
  <c r="M2110" i="7"/>
  <c r="L2111" i="7"/>
  <c r="O1938" i="7" l="1"/>
  <c r="N1938" i="7"/>
  <c r="P1939" i="7" s="1"/>
  <c r="M2111" i="7"/>
  <c r="L2112" i="7"/>
  <c r="O1939" i="7" l="1"/>
  <c r="N1939" i="7"/>
  <c r="P1940" i="7" s="1"/>
  <c r="M2112" i="7"/>
  <c r="L2113" i="7"/>
  <c r="O1940" i="7" l="1"/>
  <c r="N1940" i="7"/>
  <c r="P1941" i="7" s="1"/>
  <c r="M2113" i="7"/>
  <c r="L2114" i="7"/>
  <c r="O1941" i="7" l="1"/>
  <c r="N1941" i="7"/>
  <c r="P1942" i="7" s="1"/>
  <c r="M2114" i="7"/>
  <c r="L2115" i="7"/>
  <c r="O1942" i="7" l="1"/>
  <c r="N1942" i="7"/>
  <c r="P1943" i="7" s="1"/>
  <c r="L2116" i="7"/>
  <c r="M2115" i="7"/>
  <c r="O1943" i="7" l="1"/>
  <c r="N1943" i="7"/>
  <c r="P1944" i="7" s="1"/>
  <c r="L2117" i="7"/>
  <c r="M2116" i="7"/>
  <c r="O1944" i="7" l="1"/>
  <c r="N1944" i="7"/>
  <c r="P1945" i="7" s="1"/>
  <c r="L2118" i="7"/>
  <c r="M2117" i="7"/>
  <c r="O1945" i="7" l="1"/>
  <c r="N1945" i="7"/>
  <c r="P1946" i="7" s="1"/>
  <c r="M2118" i="7"/>
  <c r="L2119" i="7"/>
  <c r="O1946" i="7" l="1"/>
  <c r="N1946" i="7"/>
  <c r="P1947" i="7" s="1"/>
  <c r="M2119" i="7"/>
  <c r="L2120" i="7"/>
  <c r="O1947" i="7" l="1"/>
  <c r="N1947" i="7"/>
  <c r="P1948" i="7" s="1"/>
  <c r="M2120" i="7"/>
  <c r="L2121" i="7"/>
  <c r="O1948" i="7" l="1"/>
  <c r="N1948" i="7"/>
  <c r="P1949" i="7" s="1"/>
  <c r="M2121" i="7"/>
  <c r="L2122" i="7"/>
  <c r="O1949" i="7" l="1"/>
  <c r="N1949" i="7"/>
  <c r="P1950" i="7" s="1"/>
  <c r="L2123" i="7"/>
  <c r="M2122" i="7"/>
  <c r="O1950" i="7" l="1"/>
  <c r="N1950" i="7"/>
  <c r="P1951" i="7" s="1"/>
  <c r="L2124" i="7"/>
  <c r="M2123" i="7"/>
  <c r="O1951" i="7" l="1"/>
  <c r="N1951" i="7"/>
  <c r="P1952" i="7" s="1"/>
  <c r="L2125" i="7"/>
  <c r="M2124" i="7"/>
  <c r="O1952" i="7" l="1"/>
  <c r="N1952" i="7"/>
  <c r="P1953" i="7" s="1"/>
  <c r="L2126" i="7"/>
  <c r="M2125" i="7"/>
  <c r="O1953" i="7" l="1"/>
  <c r="N1953" i="7"/>
  <c r="P1954" i="7" s="1"/>
  <c r="L2127" i="7"/>
  <c r="M2126" i="7"/>
  <c r="O1954" i="7" l="1"/>
  <c r="N1954" i="7"/>
  <c r="P1955" i="7" s="1"/>
  <c r="M2127" i="7"/>
  <c r="L2128" i="7"/>
  <c r="O1955" i="7" l="1"/>
  <c r="N1955" i="7"/>
  <c r="P1956" i="7" s="1"/>
  <c r="M2128" i="7"/>
  <c r="L2129" i="7"/>
  <c r="O1956" i="7" l="1"/>
  <c r="N1956" i="7"/>
  <c r="P1957" i="7" s="1"/>
  <c r="M2129" i="7"/>
  <c r="L2130" i="7"/>
  <c r="O1957" i="7" l="1"/>
  <c r="N1957" i="7"/>
  <c r="P1958" i="7" s="1"/>
  <c r="L2131" i="7"/>
  <c r="M2130" i="7"/>
  <c r="O1958" i="7" l="1"/>
  <c r="N1958" i="7"/>
  <c r="P1959" i="7" s="1"/>
  <c r="L2132" i="7"/>
  <c r="M2131" i="7"/>
  <c r="O1959" i="7" l="1"/>
  <c r="N1959" i="7"/>
  <c r="P1960" i="7" s="1"/>
  <c r="L2133" i="7"/>
  <c r="M2132" i="7"/>
  <c r="O1960" i="7" l="1"/>
  <c r="N1960" i="7"/>
  <c r="P1961" i="7" s="1"/>
  <c r="L2134" i="7"/>
  <c r="M2133" i="7"/>
  <c r="O1961" i="7" l="1"/>
  <c r="N1961" i="7"/>
  <c r="P1962" i="7" s="1"/>
  <c r="L2135" i="7"/>
  <c r="M2134" i="7"/>
  <c r="O1962" i="7" l="1"/>
  <c r="N1962" i="7"/>
  <c r="P1963" i="7" s="1"/>
  <c r="M2135" i="7"/>
  <c r="L2136" i="7"/>
  <c r="O1963" i="7" l="1"/>
  <c r="N1963" i="7"/>
  <c r="P1964" i="7" s="1"/>
  <c r="M2136" i="7"/>
  <c r="L2137" i="7"/>
  <c r="O1964" i="7" l="1"/>
  <c r="N1964" i="7"/>
  <c r="P1965" i="7" s="1"/>
  <c r="M2137" i="7"/>
  <c r="L2138" i="7"/>
  <c r="O1965" i="7" l="1"/>
  <c r="N1965" i="7"/>
  <c r="P1966" i="7" s="1"/>
  <c r="L2139" i="7"/>
  <c r="M2138" i="7"/>
  <c r="O1966" i="7" l="1"/>
  <c r="N1966" i="7"/>
  <c r="P1967" i="7" s="1"/>
  <c r="L2140" i="7"/>
  <c r="M2139" i="7"/>
  <c r="O1967" i="7" l="1"/>
  <c r="N1967" i="7"/>
  <c r="P1968" i="7" s="1"/>
  <c r="L2141" i="7"/>
  <c r="M2140" i="7"/>
  <c r="O1968" i="7" l="1"/>
  <c r="N1968" i="7"/>
  <c r="P1969" i="7" s="1"/>
  <c r="L2142" i="7"/>
  <c r="M2141" i="7"/>
  <c r="O1969" i="7" l="1"/>
  <c r="N1969" i="7"/>
  <c r="P1970" i="7" s="1"/>
  <c r="L2143" i="7"/>
  <c r="M2142" i="7"/>
  <c r="O1970" i="7" l="1"/>
  <c r="N1970" i="7"/>
  <c r="P1971" i="7" s="1"/>
  <c r="M2143" i="7"/>
  <c r="L2144" i="7"/>
  <c r="O1971" i="7" l="1"/>
  <c r="N1971" i="7"/>
  <c r="P1972" i="7" s="1"/>
  <c r="M2144" i="7"/>
  <c r="L2145" i="7"/>
  <c r="O1972" i="7" l="1"/>
  <c r="N1972" i="7"/>
  <c r="P1973" i="7" s="1"/>
  <c r="M2145" i="7"/>
  <c r="L2146" i="7"/>
  <c r="O1973" i="7" l="1"/>
  <c r="N1973" i="7"/>
  <c r="P1974" i="7" s="1"/>
  <c r="M2146" i="7"/>
  <c r="L2147" i="7"/>
  <c r="O1974" i="7" l="1"/>
  <c r="N1974" i="7"/>
  <c r="P1975" i="7" s="1"/>
  <c r="L2148" i="7"/>
  <c r="M2147" i="7"/>
  <c r="O1975" i="7" l="1"/>
  <c r="N1975" i="7"/>
  <c r="P1976" i="7" s="1"/>
  <c r="L2149" i="7"/>
  <c r="M2148" i="7"/>
  <c r="O1976" i="7" l="1"/>
  <c r="N1976" i="7"/>
  <c r="P1977" i="7" s="1"/>
  <c r="L2150" i="7"/>
  <c r="M2149" i="7"/>
  <c r="O1977" i="7" l="1"/>
  <c r="N1977" i="7"/>
  <c r="P1978" i="7" s="1"/>
  <c r="M2150" i="7"/>
  <c r="L2151" i="7"/>
  <c r="O1978" i="7" l="1"/>
  <c r="N1978" i="7"/>
  <c r="P1979" i="7" s="1"/>
  <c r="M2151" i="7"/>
  <c r="L2152" i="7"/>
  <c r="O1979" i="7" l="1"/>
  <c r="N1979" i="7"/>
  <c r="P1980" i="7" s="1"/>
  <c r="M2152" i="7"/>
  <c r="L2153" i="7"/>
  <c r="O1980" i="7" l="1"/>
  <c r="N1980" i="7"/>
  <c r="P1981" i="7" s="1"/>
  <c r="M2153" i="7"/>
  <c r="L2154" i="7"/>
  <c r="O1981" i="7" l="1"/>
  <c r="N1981" i="7"/>
  <c r="P1982" i="7" s="1"/>
  <c r="L2155" i="7"/>
  <c r="M2154" i="7"/>
  <c r="O1982" i="7" l="1"/>
  <c r="N1982" i="7"/>
  <c r="P1983" i="7" s="1"/>
  <c r="L2156" i="7"/>
  <c r="M2155" i="7"/>
  <c r="O1983" i="7" l="1"/>
  <c r="N1983" i="7"/>
  <c r="P1984" i="7" s="1"/>
  <c r="L2157" i="7"/>
  <c r="M2156" i="7"/>
  <c r="O1984" i="7" l="1"/>
  <c r="N1984" i="7"/>
  <c r="P1985" i="7" s="1"/>
  <c r="L2158" i="7"/>
  <c r="M2157" i="7"/>
  <c r="O1985" i="7" l="1"/>
  <c r="N1985" i="7"/>
  <c r="P1986" i="7" s="1"/>
  <c r="L2159" i="7"/>
  <c r="M2158" i="7"/>
  <c r="O1986" i="7" l="1"/>
  <c r="N1986" i="7"/>
  <c r="P1987" i="7" s="1"/>
  <c r="M2159" i="7"/>
  <c r="L2160" i="7"/>
  <c r="O1987" i="7" l="1"/>
  <c r="N1987" i="7"/>
  <c r="P1988" i="7" s="1"/>
  <c r="M2160" i="7"/>
  <c r="L2161" i="7"/>
  <c r="O1988" i="7" l="1"/>
  <c r="N1988" i="7"/>
  <c r="P1989" i="7" s="1"/>
  <c r="M2161" i="7"/>
  <c r="L2162" i="7"/>
  <c r="O1989" i="7" l="1"/>
  <c r="N1989" i="7"/>
  <c r="P1990" i="7" s="1"/>
  <c r="L2163" i="7"/>
  <c r="M2162" i="7"/>
  <c r="O1990" i="7" l="1"/>
  <c r="N1990" i="7"/>
  <c r="P1991" i="7" s="1"/>
  <c r="L2164" i="7"/>
  <c r="M2163" i="7"/>
  <c r="O1991" i="7" l="1"/>
  <c r="N1991" i="7"/>
  <c r="P1992" i="7" s="1"/>
  <c r="L2165" i="7"/>
  <c r="M2164" i="7"/>
  <c r="O1992" i="7" l="1"/>
  <c r="N1992" i="7"/>
  <c r="P1993" i="7" s="1"/>
  <c r="L2166" i="7"/>
  <c r="M2165" i="7"/>
  <c r="O1993" i="7" l="1"/>
  <c r="N1993" i="7"/>
  <c r="P1994" i="7" s="1"/>
  <c r="L2167" i="7"/>
  <c r="M2166" i="7"/>
  <c r="O1994" i="7" l="1"/>
  <c r="N1994" i="7"/>
  <c r="P1995" i="7" s="1"/>
  <c r="M2167" i="7"/>
  <c r="L2168" i="7"/>
  <c r="O1995" i="7" l="1"/>
  <c r="N1995" i="7"/>
  <c r="P1996" i="7" s="1"/>
  <c r="M2168" i="7"/>
  <c r="L2169" i="7"/>
  <c r="O1996" i="7" l="1"/>
  <c r="N1996" i="7"/>
  <c r="P1997" i="7" s="1"/>
  <c r="M2169" i="7"/>
  <c r="L2170" i="7"/>
  <c r="O1997" i="7" l="1"/>
  <c r="N1997" i="7"/>
  <c r="P1998" i="7" s="1"/>
  <c r="L2171" i="7"/>
  <c r="M2170" i="7"/>
  <c r="O1998" i="7" l="1"/>
  <c r="N1998" i="7"/>
  <c r="P1999" i="7" s="1"/>
  <c r="L2172" i="7"/>
  <c r="M2171" i="7"/>
  <c r="O1999" i="7" l="1"/>
  <c r="N1999" i="7"/>
  <c r="P2000" i="7" s="1"/>
  <c r="L2173" i="7"/>
  <c r="M2172" i="7"/>
  <c r="O2000" i="7" l="1"/>
  <c r="N2000" i="7"/>
  <c r="P2001" i="7" s="1"/>
  <c r="L2174" i="7"/>
  <c r="M2173" i="7"/>
  <c r="O2001" i="7" l="1"/>
  <c r="N2001" i="7"/>
  <c r="P2002" i="7" s="1"/>
  <c r="M2174" i="7"/>
  <c r="L2175" i="7"/>
  <c r="O2002" i="7" l="1"/>
  <c r="N2002" i="7"/>
  <c r="P2003" i="7" s="1"/>
  <c r="M2175" i="7"/>
  <c r="L2176" i="7"/>
  <c r="O2003" i="7" l="1"/>
  <c r="N2003" i="7"/>
  <c r="P2004" i="7" s="1"/>
  <c r="M2176" i="7"/>
  <c r="L2177" i="7"/>
  <c r="O2004" i="7" l="1"/>
  <c r="N2004" i="7"/>
  <c r="P2005" i="7" s="1"/>
  <c r="M2177" i="7"/>
  <c r="L2178" i="7"/>
  <c r="O2005" i="7" l="1"/>
  <c r="N2005" i="7"/>
  <c r="P2006" i="7" s="1"/>
  <c r="M2178" i="7"/>
  <c r="L2179" i="7"/>
  <c r="O2006" i="7" l="1"/>
  <c r="N2006" i="7"/>
  <c r="P2007" i="7" s="1"/>
  <c r="L2180" i="7"/>
  <c r="M2179" i="7"/>
  <c r="O2007" i="7" l="1"/>
  <c r="N2007" i="7"/>
  <c r="P2008" i="7" s="1"/>
  <c r="L2181" i="7"/>
  <c r="M2180" i="7"/>
  <c r="O2008" i="7" l="1"/>
  <c r="N2008" i="7"/>
  <c r="P2009" i="7" s="1"/>
  <c r="L2182" i="7"/>
  <c r="M2181" i="7"/>
  <c r="O2009" i="7" l="1"/>
  <c r="N2009" i="7"/>
  <c r="P2010" i="7" s="1"/>
  <c r="M2182" i="7"/>
  <c r="L2183" i="7"/>
  <c r="O2010" i="7" l="1"/>
  <c r="N2010" i="7"/>
  <c r="P2011" i="7" s="1"/>
  <c r="M2183" i="7"/>
  <c r="L2184" i="7"/>
  <c r="O2011" i="7" l="1"/>
  <c r="N2011" i="7"/>
  <c r="P2012" i="7" s="1"/>
  <c r="M2184" i="7"/>
  <c r="L2185" i="7"/>
  <c r="O2012" i="7" l="1"/>
  <c r="N2012" i="7"/>
  <c r="P2013" i="7" s="1"/>
  <c r="M2185" i="7"/>
  <c r="L2186" i="7"/>
  <c r="O2013" i="7" l="1"/>
  <c r="N2013" i="7"/>
  <c r="P2014" i="7" s="1"/>
  <c r="L2187" i="7"/>
  <c r="M2186" i="7"/>
  <c r="O2014" i="7" l="1"/>
  <c r="N2014" i="7"/>
  <c r="P2015" i="7" s="1"/>
  <c r="L2188" i="7"/>
  <c r="M2187" i="7"/>
  <c r="O2015" i="7" l="1"/>
  <c r="N2015" i="7"/>
  <c r="P2016" i="7" s="1"/>
  <c r="L2189" i="7"/>
  <c r="M2188" i="7"/>
  <c r="O2016" i="7" l="1"/>
  <c r="N2016" i="7"/>
  <c r="P2017" i="7" s="1"/>
  <c r="L2190" i="7"/>
  <c r="M2189" i="7"/>
  <c r="O2017" i="7" l="1"/>
  <c r="N2017" i="7"/>
  <c r="P2018" i="7" s="1"/>
  <c r="L2191" i="7"/>
  <c r="M2190" i="7"/>
  <c r="O2018" i="7" l="1"/>
  <c r="N2018" i="7"/>
  <c r="P2019" i="7" s="1"/>
  <c r="M2191" i="7"/>
  <c r="L2192" i="7"/>
  <c r="O2019" i="7" l="1"/>
  <c r="N2019" i="7"/>
  <c r="P2020" i="7" s="1"/>
  <c r="M2192" i="7"/>
  <c r="L2193" i="7"/>
  <c r="O2020" i="7" l="1"/>
  <c r="N2020" i="7"/>
  <c r="P2021" i="7" s="1"/>
  <c r="M2193" i="7"/>
  <c r="L2194" i="7"/>
  <c r="O2021" i="7" l="1"/>
  <c r="N2021" i="7"/>
  <c r="P2022" i="7" s="1"/>
  <c r="L2195" i="7"/>
  <c r="M2194" i="7"/>
  <c r="O2022" i="7" l="1"/>
  <c r="N2022" i="7"/>
  <c r="P2023" i="7" s="1"/>
  <c r="L2196" i="7"/>
  <c r="M2195" i="7"/>
  <c r="O2023" i="7" l="1"/>
  <c r="N2023" i="7"/>
  <c r="P2024" i="7" s="1"/>
  <c r="L2197" i="7"/>
  <c r="M2196" i="7"/>
  <c r="O2024" i="7" l="1"/>
  <c r="N2024" i="7"/>
  <c r="P2025" i="7" s="1"/>
  <c r="L2198" i="7"/>
  <c r="M2197" i="7"/>
  <c r="O2025" i="7" l="1"/>
  <c r="N2025" i="7"/>
  <c r="P2026" i="7" s="1"/>
  <c r="L2199" i="7"/>
  <c r="M2198" i="7"/>
  <c r="O2026" i="7" l="1"/>
  <c r="N2026" i="7"/>
  <c r="P2027" i="7" s="1"/>
  <c r="M2199" i="7"/>
  <c r="L2200" i="7"/>
  <c r="O2027" i="7" l="1"/>
  <c r="N2027" i="7"/>
  <c r="P2028" i="7" s="1"/>
  <c r="M2200" i="7"/>
  <c r="L2201" i="7"/>
  <c r="O2028" i="7" l="1"/>
  <c r="N2028" i="7"/>
  <c r="P2029" i="7" s="1"/>
  <c r="M2201" i="7"/>
  <c r="L2202" i="7"/>
  <c r="O2029" i="7" l="1"/>
  <c r="N2029" i="7"/>
  <c r="P2030" i="7" s="1"/>
  <c r="L2203" i="7"/>
  <c r="M2202" i="7"/>
  <c r="O2030" i="7" l="1"/>
  <c r="N2030" i="7"/>
  <c r="P2031" i="7" s="1"/>
  <c r="L2204" i="7"/>
  <c r="M2203" i="7"/>
  <c r="O2031" i="7" l="1"/>
  <c r="N2031" i="7"/>
  <c r="P2032" i="7" s="1"/>
  <c r="L2205" i="7"/>
  <c r="M2204" i="7"/>
  <c r="O2032" i="7" l="1"/>
  <c r="N2032" i="7"/>
  <c r="P2033" i="7" s="1"/>
  <c r="L2206" i="7"/>
  <c r="M2205" i="7"/>
  <c r="O2033" i="7" l="1"/>
  <c r="N2033" i="7"/>
  <c r="P2034" i="7" s="1"/>
  <c r="L2207" i="7"/>
  <c r="M2206" i="7"/>
  <c r="O2034" i="7" l="1"/>
  <c r="N2034" i="7"/>
  <c r="P2035" i="7" s="1"/>
  <c r="M2207" i="7"/>
  <c r="L2208" i="7"/>
  <c r="O2035" i="7" l="1"/>
  <c r="N2035" i="7"/>
  <c r="P2036" i="7" s="1"/>
  <c r="M2208" i="7"/>
  <c r="L2209" i="7"/>
  <c r="O2036" i="7" l="1"/>
  <c r="N2036" i="7"/>
  <c r="P2037" i="7" s="1"/>
  <c r="M2209" i="7"/>
  <c r="L2210" i="7"/>
  <c r="O2037" i="7" l="1"/>
  <c r="N2037" i="7"/>
  <c r="P2038" i="7" s="1"/>
  <c r="M2210" i="7"/>
  <c r="L2211" i="7"/>
  <c r="O2038" i="7" l="1"/>
  <c r="N2038" i="7"/>
  <c r="P2039" i="7" s="1"/>
  <c r="L2212" i="7"/>
  <c r="M2211" i="7"/>
  <c r="O2039" i="7" l="1"/>
  <c r="N2039" i="7"/>
  <c r="P2040" i="7" s="1"/>
  <c r="L2213" i="7"/>
  <c r="M2212" i="7"/>
  <c r="O2040" i="7" l="1"/>
  <c r="N2040" i="7"/>
  <c r="P2041" i="7" s="1"/>
  <c r="M2213" i="7"/>
  <c r="L2214" i="7"/>
  <c r="O2041" i="7" l="1"/>
  <c r="N2041" i="7"/>
  <c r="P2042" i="7" s="1"/>
  <c r="M2214" i="7"/>
  <c r="L2215" i="7"/>
  <c r="O2042" i="7" l="1"/>
  <c r="N2042" i="7"/>
  <c r="P2043" i="7" s="1"/>
  <c r="M2215" i="7"/>
  <c r="L2216" i="7"/>
  <c r="O2043" i="7" l="1"/>
  <c r="N2043" i="7"/>
  <c r="P2044" i="7" s="1"/>
  <c r="L2217" i="7"/>
  <c r="M2216" i="7"/>
  <c r="O2044" i="7" l="1"/>
  <c r="N2044" i="7"/>
  <c r="P2045" i="7" s="1"/>
  <c r="M2217" i="7"/>
  <c r="L2218" i="7"/>
  <c r="O2045" i="7" l="1"/>
  <c r="N2045" i="7"/>
  <c r="P2046" i="7" s="1"/>
  <c r="M2218" i="7"/>
  <c r="L2219" i="7"/>
  <c r="O2046" i="7" l="1"/>
  <c r="N2046" i="7"/>
  <c r="P2047" i="7" s="1"/>
  <c r="M2219" i="7"/>
  <c r="L2220" i="7"/>
  <c r="O2047" i="7" l="1"/>
  <c r="N2047" i="7"/>
  <c r="P2048" i="7" s="1"/>
  <c r="L2221" i="7"/>
  <c r="M2220" i="7"/>
  <c r="O2048" i="7" l="1"/>
  <c r="N2048" i="7"/>
  <c r="P2049" i="7" s="1"/>
  <c r="L2222" i="7"/>
  <c r="M2221" i="7"/>
  <c r="O2049" i="7" l="1"/>
  <c r="N2049" i="7"/>
  <c r="P2050" i="7" s="1"/>
  <c r="L2223" i="7"/>
  <c r="M2222" i="7"/>
  <c r="O2050" i="7" l="1"/>
  <c r="N2050" i="7"/>
  <c r="P2051" i="7" s="1"/>
  <c r="L2224" i="7"/>
  <c r="M2223" i="7"/>
  <c r="O2051" i="7" l="1"/>
  <c r="N2051" i="7"/>
  <c r="P2052" i="7" s="1"/>
  <c r="L2225" i="7"/>
  <c r="M2224" i="7"/>
  <c r="O2052" i="7" l="1"/>
  <c r="N2052" i="7"/>
  <c r="P2053" i="7" s="1"/>
  <c r="M2225" i="7"/>
  <c r="L2226" i="7"/>
  <c r="O2053" i="7" l="1"/>
  <c r="N2053" i="7"/>
  <c r="P2054" i="7" s="1"/>
  <c r="M2226" i="7"/>
  <c r="L2227" i="7"/>
  <c r="O2054" i="7" l="1"/>
  <c r="N2054" i="7"/>
  <c r="P2055" i="7" s="1"/>
  <c r="M2227" i="7"/>
  <c r="L2228" i="7"/>
  <c r="O2055" i="7" l="1"/>
  <c r="N2055" i="7"/>
  <c r="P2056" i="7" s="1"/>
  <c r="L2229" i="7"/>
  <c r="M2228" i="7"/>
  <c r="O2056" i="7" l="1"/>
  <c r="N2056" i="7"/>
  <c r="P2057" i="7" s="1"/>
  <c r="L2230" i="7"/>
  <c r="M2229" i="7"/>
  <c r="O2057" i="7" l="1"/>
  <c r="N2057" i="7"/>
  <c r="P2058" i="7" s="1"/>
  <c r="L2231" i="7"/>
  <c r="M2230" i="7"/>
  <c r="O2058" i="7" l="1"/>
  <c r="N2058" i="7"/>
  <c r="P2059" i="7" s="1"/>
  <c r="L2232" i="7"/>
  <c r="M2231" i="7"/>
  <c r="O2059" i="7" l="1"/>
  <c r="N2059" i="7"/>
  <c r="P2060" i="7" s="1"/>
  <c r="L2233" i="7"/>
  <c r="M2232" i="7"/>
  <c r="O2060" i="7" l="1"/>
  <c r="N2060" i="7"/>
  <c r="P2061" i="7" s="1"/>
  <c r="M2233" i="7"/>
  <c r="L2234" i="7"/>
  <c r="O2061" i="7" l="1"/>
  <c r="N2061" i="7"/>
  <c r="P2062" i="7" s="1"/>
  <c r="M2234" i="7"/>
  <c r="L2235" i="7"/>
  <c r="O2062" i="7" l="1"/>
  <c r="N2062" i="7"/>
  <c r="P2063" i="7" s="1"/>
  <c r="M2235" i="7"/>
  <c r="L2236" i="7"/>
  <c r="O2063" i="7" l="1"/>
  <c r="N2063" i="7"/>
  <c r="P2064" i="7" s="1"/>
  <c r="L2237" i="7"/>
  <c r="M2236" i="7"/>
  <c r="O2064" i="7" l="1"/>
  <c r="N2064" i="7"/>
  <c r="P2065" i="7" s="1"/>
  <c r="L2238" i="7"/>
  <c r="M2237" i="7"/>
  <c r="O2065" i="7" l="1"/>
  <c r="N2065" i="7"/>
  <c r="P2066" i="7" s="1"/>
  <c r="L2239" i="7"/>
  <c r="M2238" i="7"/>
  <c r="O2066" i="7" l="1"/>
  <c r="N2066" i="7"/>
  <c r="P2067" i="7" s="1"/>
  <c r="L2240" i="7"/>
  <c r="M2239" i="7"/>
  <c r="O2067" i="7" l="1"/>
  <c r="N2067" i="7"/>
  <c r="P2068" i="7" s="1"/>
  <c r="L2241" i="7"/>
  <c r="M2240" i="7"/>
  <c r="O2068" i="7" l="1"/>
  <c r="N2068" i="7"/>
  <c r="P2069" i="7" s="1"/>
  <c r="M2241" i="7"/>
  <c r="L2242" i="7"/>
  <c r="O2069" i="7" l="1"/>
  <c r="N2069" i="7"/>
  <c r="P2070" i="7" s="1"/>
  <c r="M2242" i="7"/>
  <c r="L2243" i="7"/>
  <c r="O2070" i="7" l="1"/>
  <c r="N2070" i="7"/>
  <c r="P2071" i="7" s="1"/>
  <c r="M2243" i="7"/>
  <c r="L2244" i="7"/>
  <c r="O2071" i="7" l="1"/>
  <c r="N2071" i="7"/>
  <c r="P2072" i="7" s="1"/>
  <c r="L2245" i="7"/>
  <c r="M2244" i="7"/>
  <c r="O2072" i="7" l="1"/>
  <c r="N2072" i="7"/>
  <c r="P2073" i="7" s="1"/>
  <c r="L2246" i="7"/>
  <c r="M2245" i="7"/>
  <c r="O2073" i="7" l="1"/>
  <c r="N2073" i="7"/>
  <c r="P2074" i="7" s="1"/>
  <c r="L2247" i="7"/>
  <c r="M2246" i="7"/>
  <c r="O2074" i="7" l="1"/>
  <c r="N2074" i="7"/>
  <c r="P2075" i="7" s="1"/>
  <c r="L2248" i="7"/>
  <c r="M2247" i="7"/>
  <c r="O2075" i="7" l="1"/>
  <c r="N2075" i="7"/>
  <c r="P2076" i="7" s="1"/>
  <c r="L2249" i="7"/>
  <c r="M2248" i="7"/>
  <c r="O2076" i="7" l="1"/>
  <c r="N2076" i="7"/>
  <c r="P2077" i="7" s="1"/>
  <c r="M2249" i="7"/>
  <c r="L2250" i="7"/>
  <c r="O2077" i="7" l="1"/>
  <c r="N2077" i="7"/>
  <c r="P2078" i="7" s="1"/>
  <c r="M2250" i="7"/>
  <c r="L2251" i="7"/>
  <c r="O2078" i="7" l="1"/>
  <c r="N2078" i="7"/>
  <c r="P2079" i="7" s="1"/>
  <c r="M2251" i="7"/>
  <c r="L2252" i="7"/>
  <c r="O2079" i="7" l="1"/>
  <c r="N2079" i="7"/>
  <c r="P2080" i="7" s="1"/>
  <c r="M2252" i="7"/>
  <c r="L2253" i="7"/>
  <c r="O2080" i="7" l="1"/>
  <c r="N2080" i="7"/>
  <c r="P2081" i="7" s="1"/>
  <c r="L2254" i="7"/>
  <c r="M2253" i="7"/>
  <c r="O2081" i="7" l="1"/>
  <c r="N2081" i="7"/>
  <c r="P2082" i="7" s="1"/>
  <c r="L2255" i="7"/>
  <c r="M2254" i="7"/>
  <c r="O2082" i="7" l="1"/>
  <c r="N2082" i="7"/>
  <c r="P2083" i="7" s="1"/>
  <c r="L2256" i="7"/>
  <c r="M2255" i="7"/>
  <c r="O2083" i="7" l="1"/>
  <c r="N2083" i="7"/>
  <c r="P2084" i="7" s="1"/>
  <c r="M2256" i="7"/>
  <c r="L2257" i="7"/>
  <c r="O2084" i="7" l="1"/>
  <c r="N2084" i="7"/>
  <c r="P2085" i="7" s="1"/>
  <c r="M2257" i="7"/>
  <c r="L2258" i="7"/>
  <c r="O2085" i="7" l="1"/>
  <c r="N2085" i="7"/>
  <c r="P2086" i="7" s="1"/>
  <c r="M2258" i="7"/>
  <c r="L2259" i="7"/>
  <c r="O2086" i="7" l="1"/>
  <c r="N2086" i="7"/>
  <c r="P2087" i="7" s="1"/>
  <c r="M2259" i="7"/>
  <c r="L2260" i="7"/>
  <c r="O2087" i="7" l="1"/>
  <c r="N2087" i="7"/>
  <c r="P2088" i="7" s="1"/>
  <c r="M2260" i="7"/>
  <c r="L2261" i="7"/>
  <c r="O2088" i="7" l="1"/>
  <c r="N2088" i="7"/>
  <c r="P2089" i="7" s="1"/>
  <c r="L2262" i="7"/>
  <c r="M2261" i="7"/>
  <c r="O2089" i="7" l="1"/>
  <c r="N2089" i="7"/>
  <c r="P2090" i="7" s="1"/>
  <c r="L2263" i="7"/>
  <c r="M2262" i="7"/>
  <c r="O2090" i="7" l="1"/>
  <c r="N2090" i="7"/>
  <c r="P2091" i="7" s="1"/>
  <c r="L2264" i="7"/>
  <c r="M2263" i="7"/>
  <c r="O2091" i="7" l="1"/>
  <c r="N2091" i="7"/>
  <c r="P2092" i="7" s="1"/>
  <c r="M2264" i="7"/>
  <c r="L2265" i="7"/>
  <c r="O2092" i="7" l="1"/>
  <c r="N2092" i="7"/>
  <c r="P2093" i="7" s="1"/>
  <c r="M2265" i="7"/>
  <c r="L2266" i="7"/>
  <c r="O2093" i="7" l="1"/>
  <c r="N2093" i="7"/>
  <c r="P2094" i="7" s="1"/>
  <c r="M2266" i="7"/>
  <c r="L2267" i="7"/>
  <c r="O2094" i="7" l="1"/>
  <c r="N2094" i="7"/>
  <c r="P2095" i="7" s="1"/>
  <c r="M2267" i="7"/>
  <c r="L2268" i="7"/>
  <c r="O2095" i="7" l="1"/>
  <c r="N2095" i="7"/>
  <c r="P2096" i="7" s="1"/>
  <c r="M2268" i="7"/>
  <c r="L2269" i="7"/>
  <c r="O2096" i="7" l="1"/>
  <c r="N2096" i="7"/>
  <c r="P2097" i="7" s="1"/>
  <c r="M2269" i="7"/>
  <c r="L2270" i="7"/>
  <c r="O2097" i="7" l="1"/>
  <c r="N2097" i="7"/>
  <c r="P2098" i="7" s="1"/>
  <c r="L2271" i="7"/>
  <c r="M2270" i="7"/>
  <c r="O2098" i="7" l="1"/>
  <c r="N2098" i="7"/>
  <c r="P2099" i="7" s="1"/>
  <c r="L2272" i="7"/>
  <c r="M2271" i="7"/>
  <c r="O2099" i="7" l="1"/>
  <c r="N2099" i="7"/>
  <c r="P2100" i="7" s="1"/>
  <c r="L2273" i="7"/>
  <c r="M2272" i="7"/>
  <c r="O2100" i="7" l="1"/>
  <c r="N2100" i="7"/>
  <c r="P2101" i="7" s="1"/>
  <c r="M2273" i="7"/>
  <c r="L2274" i="7"/>
  <c r="O2101" i="7" l="1"/>
  <c r="N2101" i="7"/>
  <c r="P2102" i="7" s="1"/>
  <c r="M2274" i="7"/>
  <c r="L2275" i="7"/>
  <c r="O2102" i="7" l="1"/>
  <c r="N2102" i="7"/>
  <c r="P2103" i="7" s="1"/>
  <c r="M2275" i="7"/>
  <c r="L2276" i="7"/>
  <c r="O2103" i="7" l="1"/>
  <c r="N2103" i="7"/>
  <c r="P2104" i="7" s="1"/>
  <c r="L2277" i="7"/>
  <c r="M2276" i="7"/>
  <c r="O2104" i="7" l="1"/>
  <c r="N2104" i="7"/>
  <c r="P2105" i="7" s="1"/>
  <c r="L2278" i="7"/>
  <c r="M2277" i="7"/>
  <c r="O2105" i="7" l="1"/>
  <c r="N2105" i="7"/>
  <c r="P2106" i="7" s="1"/>
  <c r="L2279" i="7"/>
  <c r="M2278" i="7"/>
  <c r="O2106" i="7" l="1"/>
  <c r="N2106" i="7"/>
  <c r="P2107" i="7" s="1"/>
  <c r="M2279" i="7"/>
  <c r="L2280" i="7"/>
  <c r="O2107" i="7" l="1"/>
  <c r="N2107" i="7"/>
  <c r="P2108" i="7" s="1"/>
  <c r="L2281" i="7"/>
  <c r="M2280" i="7"/>
  <c r="O2108" i="7" l="1"/>
  <c r="N2108" i="7"/>
  <c r="P2109" i="7" s="1"/>
  <c r="L2282" i="7"/>
  <c r="M2281" i="7"/>
  <c r="O2109" i="7" l="1"/>
  <c r="N2109" i="7"/>
  <c r="P2110" i="7" s="1"/>
  <c r="M2282" i="7"/>
  <c r="L2283" i="7"/>
  <c r="O2110" i="7" l="1"/>
  <c r="N2110" i="7"/>
  <c r="P2111" i="7" s="1"/>
  <c r="L2284" i="7"/>
  <c r="M2283" i="7"/>
  <c r="O2111" i="7" l="1"/>
  <c r="N2111" i="7"/>
  <c r="P2112" i="7" s="1"/>
  <c r="L2285" i="7"/>
  <c r="M2284" i="7"/>
  <c r="O2112" i="7" l="1"/>
  <c r="N2112" i="7"/>
  <c r="P2113" i="7" s="1"/>
  <c r="L2286" i="7"/>
  <c r="M2285" i="7"/>
  <c r="O2113" i="7" l="1"/>
  <c r="N2113" i="7"/>
  <c r="P2114" i="7" s="1"/>
  <c r="L2287" i="7"/>
  <c r="M2286" i="7"/>
  <c r="O2114" i="7" l="1"/>
  <c r="N2114" i="7"/>
  <c r="P2115" i="7" s="1"/>
  <c r="M2287" i="7"/>
  <c r="L2288" i="7"/>
  <c r="O2115" i="7" l="1"/>
  <c r="N2115" i="7"/>
  <c r="P2116" i="7" s="1"/>
  <c r="M2288" i="7"/>
  <c r="L2289" i="7"/>
  <c r="O2116" i="7" l="1"/>
  <c r="N2116" i="7"/>
  <c r="P2117" i="7" s="1"/>
  <c r="M2289" i="7"/>
  <c r="L2290" i="7"/>
  <c r="O2117" i="7" l="1"/>
  <c r="N2117" i="7"/>
  <c r="P2118" i="7" s="1"/>
  <c r="M2290" i="7"/>
  <c r="L2291" i="7"/>
  <c r="O2118" i="7" l="1"/>
  <c r="N2118" i="7"/>
  <c r="P2119" i="7" s="1"/>
  <c r="L2292" i="7"/>
  <c r="M2291" i="7"/>
  <c r="O2119" i="7" l="1"/>
  <c r="N2119" i="7"/>
  <c r="P2120" i="7" s="1"/>
  <c r="M2292" i="7"/>
  <c r="L2293" i="7"/>
  <c r="O2120" i="7" l="1"/>
  <c r="N2120" i="7"/>
  <c r="P2121" i="7" s="1"/>
  <c r="M2293" i="7"/>
  <c r="L2294" i="7"/>
  <c r="O2121" i="7" l="1"/>
  <c r="N2121" i="7"/>
  <c r="P2122" i="7" s="1"/>
  <c r="L2295" i="7"/>
  <c r="M2294" i="7"/>
  <c r="O2122" i="7" l="1"/>
  <c r="N2122" i="7"/>
  <c r="P2123" i="7" s="1"/>
  <c r="M2295" i="7"/>
  <c r="L2296" i="7"/>
  <c r="O2123" i="7" l="1"/>
  <c r="N2123" i="7"/>
  <c r="P2124" i="7" s="1"/>
  <c r="M2296" i="7"/>
  <c r="L2297" i="7"/>
  <c r="O2124" i="7" l="1"/>
  <c r="N2124" i="7"/>
  <c r="P2125" i="7" s="1"/>
  <c r="M2297" i="7"/>
  <c r="L2298" i="7"/>
  <c r="O2125" i="7" l="1"/>
  <c r="N2125" i="7"/>
  <c r="P2126" i="7" s="1"/>
  <c r="M2298" i="7"/>
  <c r="L2299" i="7"/>
  <c r="O2126" i="7" l="1"/>
  <c r="N2126" i="7"/>
  <c r="P2127" i="7" s="1"/>
  <c r="L2300" i="7"/>
  <c r="M2299" i="7"/>
  <c r="O2127" i="7" l="1"/>
  <c r="N2127" i="7"/>
  <c r="P2128" i="7" s="1"/>
  <c r="L2301" i="7"/>
  <c r="M2300" i="7"/>
  <c r="O2128" i="7" l="1"/>
  <c r="N2128" i="7"/>
  <c r="P2129" i="7" s="1"/>
  <c r="M2301" i="7"/>
  <c r="L2302" i="7"/>
  <c r="O2129" i="7" l="1"/>
  <c r="N2129" i="7"/>
  <c r="P2130" i="7" s="1"/>
  <c r="L2303" i="7"/>
  <c r="M2302" i="7"/>
  <c r="O2130" i="7" l="1"/>
  <c r="N2130" i="7"/>
  <c r="P2131" i="7" s="1"/>
  <c r="M2303" i="7"/>
  <c r="L2304" i="7"/>
  <c r="O2131" i="7" l="1"/>
  <c r="N2131" i="7"/>
  <c r="P2132" i="7" s="1"/>
  <c r="L2305" i="7"/>
  <c r="M2304" i="7"/>
  <c r="O2132" i="7" l="1"/>
  <c r="N2132" i="7"/>
  <c r="P2133" i="7" s="1"/>
  <c r="L2306" i="7"/>
  <c r="M2305" i="7"/>
  <c r="O2133" i="7" l="1"/>
  <c r="N2133" i="7"/>
  <c r="P2134" i="7" s="1"/>
  <c r="M2306" i="7"/>
  <c r="L2307" i="7"/>
  <c r="O2134" i="7" l="1"/>
  <c r="N2134" i="7"/>
  <c r="P2135" i="7" s="1"/>
  <c r="L2308" i="7"/>
  <c r="M2307" i="7"/>
  <c r="O2135" i="7" l="1"/>
  <c r="N2135" i="7"/>
  <c r="P2136" i="7" s="1"/>
  <c r="L2309" i="7"/>
  <c r="M2308" i="7"/>
  <c r="O2136" i="7" l="1"/>
  <c r="N2136" i="7"/>
  <c r="P2137" i="7" s="1"/>
  <c r="L2310" i="7"/>
  <c r="M2309" i="7"/>
  <c r="O2137" i="7" l="1"/>
  <c r="N2137" i="7"/>
  <c r="P2138" i="7" s="1"/>
  <c r="L2311" i="7"/>
  <c r="M2310" i="7"/>
  <c r="O2138" i="7" l="1"/>
  <c r="N2138" i="7"/>
  <c r="P2139" i="7" s="1"/>
  <c r="M2311" i="7"/>
  <c r="L2312" i="7"/>
  <c r="O2139" i="7" l="1"/>
  <c r="N2139" i="7"/>
  <c r="P2140" i="7" s="1"/>
  <c r="L2313" i="7"/>
  <c r="M2312" i="7"/>
  <c r="O2140" i="7" l="1"/>
  <c r="N2140" i="7"/>
  <c r="P2141" i="7" s="1"/>
  <c r="L2314" i="7"/>
  <c r="M2313" i="7"/>
  <c r="O2141" i="7" l="1"/>
  <c r="N2141" i="7"/>
  <c r="P2142" i="7" s="1"/>
  <c r="M2314" i="7"/>
  <c r="L2315" i="7"/>
  <c r="O2142" i="7" l="1"/>
  <c r="N2142" i="7"/>
  <c r="P2143" i="7" s="1"/>
  <c r="L2316" i="7"/>
  <c r="M2315" i="7"/>
  <c r="O2143" i="7" l="1"/>
  <c r="N2143" i="7"/>
  <c r="P2144" i="7" s="1"/>
  <c r="M2316" i="7"/>
  <c r="L2317" i="7"/>
  <c r="O2144" i="7" l="1"/>
  <c r="N2144" i="7"/>
  <c r="P2145" i="7" s="1"/>
  <c r="L2318" i="7"/>
  <c r="M2317" i="7"/>
  <c r="O2145" i="7" l="1"/>
  <c r="N2145" i="7"/>
  <c r="P2146" i="7" s="1"/>
  <c r="L2319" i="7"/>
  <c r="M2318" i="7"/>
  <c r="O2146" i="7" l="1"/>
  <c r="N2146" i="7"/>
  <c r="P2147" i="7" s="1"/>
  <c r="M2319" i="7"/>
  <c r="L2320" i="7"/>
  <c r="O2147" i="7" l="1"/>
  <c r="N2147" i="7"/>
  <c r="P2148" i="7" s="1"/>
  <c r="M2320" i="7"/>
  <c r="L2321" i="7"/>
  <c r="O2148" i="7" l="1"/>
  <c r="N2148" i="7"/>
  <c r="P2149" i="7" s="1"/>
  <c r="M2321" i="7"/>
  <c r="L2322" i="7"/>
  <c r="O2149" i="7" l="1"/>
  <c r="N2149" i="7"/>
  <c r="P2150" i="7" s="1"/>
  <c r="M2322" i="7"/>
  <c r="L2323" i="7"/>
  <c r="O2150" i="7" l="1"/>
  <c r="N2150" i="7"/>
  <c r="P2151" i="7" s="1"/>
  <c r="L2324" i="7"/>
  <c r="M2323" i="7"/>
  <c r="O2151" i="7" l="1"/>
  <c r="N2151" i="7"/>
  <c r="P2152" i="7" s="1"/>
  <c r="M2324" i="7"/>
  <c r="L2325" i="7"/>
  <c r="O2152" i="7" l="1"/>
  <c r="N2152" i="7"/>
  <c r="P2153" i="7" s="1"/>
  <c r="M2325" i="7"/>
  <c r="L2326" i="7"/>
  <c r="O2153" i="7" l="1"/>
  <c r="N2153" i="7"/>
  <c r="P2154" i="7" s="1"/>
  <c r="L2327" i="7"/>
  <c r="M2326" i="7"/>
  <c r="O2154" i="7" l="1"/>
  <c r="N2154" i="7"/>
  <c r="P2155" i="7" s="1"/>
  <c r="M2327" i="7"/>
  <c r="L2328" i="7"/>
  <c r="O2155" i="7" l="1"/>
  <c r="N2155" i="7"/>
  <c r="P2156" i="7" s="1"/>
  <c r="L2329" i="7"/>
  <c r="M2328" i="7"/>
  <c r="O2156" i="7" l="1"/>
  <c r="N2156" i="7"/>
  <c r="P2157" i="7" s="1"/>
  <c r="M2329" i="7"/>
  <c r="L2330" i="7"/>
  <c r="O2157" i="7" l="1"/>
  <c r="N2157" i="7"/>
  <c r="P2158" i="7" s="1"/>
  <c r="M2330" i="7"/>
  <c r="L2331" i="7"/>
  <c r="O2158" i="7" l="1"/>
  <c r="N2158" i="7"/>
  <c r="P2159" i="7" s="1"/>
  <c r="L2332" i="7"/>
  <c r="M2331" i="7"/>
  <c r="O2159" i="7" l="1"/>
  <c r="N2159" i="7"/>
  <c r="P2160" i="7" s="1"/>
  <c r="L2333" i="7"/>
  <c r="M2332" i="7"/>
  <c r="O2160" i="7" l="1"/>
  <c r="N2160" i="7"/>
  <c r="P2161" i="7" s="1"/>
  <c r="L2334" i="7"/>
  <c r="M2333" i="7"/>
  <c r="O2161" i="7" l="1"/>
  <c r="N2161" i="7"/>
  <c r="P2162" i="7" s="1"/>
  <c r="L2335" i="7"/>
  <c r="M2334" i="7"/>
  <c r="O2162" i="7" l="1"/>
  <c r="N2162" i="7"/>
  <c r="P2163" i="7" s="1"/>
  <c r="M2335" i="7"/>
  <c r="L2336" i="7"/>
  <c r="O2163" i="7" l="1"/>
  <c r="N2163" i="7"/>
  <c r="P2164" i="7" s="1"/>
  <c r="L2337" i="7"/>
  <c r="M2336" i="7"/>
  <c r="O2164" i="7" l="1"/>
  <c r="N2164" i="7"/>
  <c r="P2165" i="7" s="1"/>
  <c r="L2338" i="7"/>
  <c r="M2337" i="7"/>
  <c r="O2165" i="7" l="1"/>
  <c r="N2165" i="7"/>
  <c r="P2166" i="7" s="1"/>
  <c r="M2338" i="7"/>
  <c r="L2339" i="7"/>
  <c r="O2166" i="7" l="1"/>
  <c r="N2166" i="7"/>
  <c r="P2167" i="7" s="1"/>
  <c r="L2340" i="7"/>
  <c r="M2339" i="7"/>
  <c r="O2167" i="7" l="1"/>
  <c r="N2167" i="7"/>
  <c r="P2168" i="7" s="1"/>
  <c r="L2341" i="7"/>
  <c r="M2340" i="7"/>
  <c r="O2168" i="7" l="1"/>
  <c r="N2168" i="7"/>
  <c r="P2169" i="7" s="1"/>
  <c r="L2342" i="7"/>
  <c r="M2341" i="7"/>
  <c r="O2169" i="7" l="1"/>
  <c r="N2169" i="7"/>
  <c r="P2170" i="7" s="1"/>
  <c r="L2343" i="7"/>
  <c r="M2342" i="7"/>
  <c r="O2170" i="7" l="1"/>
  <c r="N2170" i="7"/>
  <c r="P2171" i="7" s="1"/>
  <c r="M2343" i="7"/>
  <c r="L2344" i="7"/>
  <c r="O2171" i="7" l="1"/>
  <c r="N2171" i="7"/>
  <c r="P2172" i="7" s="1"/>
  <c r="L2345" i="7"/>
  <c r="M2344" i="7"/>
  <c r="O2172" i="7" l="1"/>
  <c r="N2172" i="7"/>
  <c r="P2173" i="7" s="1"/>
  <c r="L2346" i="7"/>
  <c r="M2345" i="7"/>
  <c r="O2173" i="7" l="1"/>
  <c r="N2173" i="7"/>
  <c r="P2174" i="7" s="1"/>
  <c r="M2346" i="7"/>
  <c r="L2347" i="7"/>
  <c r="O2174" i="7" l="1"/>
  <c r="N2174" i="7"/>
  <c r="P2175" i="7" s="1"/>
  <c r="L2348" i="7"/>
  <c r="M2347" i="7"/>
  <c r="O2175" i="7" l="1"/>
  <c r="N2175" i="7"/>
  <c r="P2176" i="7" s="1"/>
  <c r="L2349" i="7"/>
  <c r="M2348" i="7"/>
  <c r="O2176" i="7" l="1"/>
  <c r="N2176" i="7"/>
  <c r="P2177" i="7" s="1"/>
  <c r="L2350" i="7"/>
  <c r="M2349" i="7"/>
  <c r="O2177" i="7" l="1"/>
  <c r="N2177" i="7"/>
  <c r="P2178" i="7" s="1"/>
  <c r="L2351" i="7"/>
  <c r="M2350" i="7"/>
  <c r="O2178" i="7" l="1"/>
  <c r="N2178" i="7"/>
  <c r="P2179" i="7" s="1"/>
  <c r="M2351" i="7"/>
  <c r="L2352" i="7"/>
  <c r="O2179" i="7" l="1"/>
  <c r="N2179" i="7"/>
  <c r="P2180" i="7" s="1"/>
  <c r="M2352" i="7"/>
  <c r="L2353" i="7"/>
  <c r="O2180" i="7" l="1"/>
  <c r="N2180" i="7"/>
  <c r="P2181" i="7" s="1"/>
  <c r="L2354" i="7"/>
  <c r="M2353" i="7"/>
  <c r="O2181" i="7" l="1"/>
  <c r="N2181" i="7"/>
  <c r="P2182" i="7" s="1"/>
  <c r="M2354" i="7"/>
  <c r="L2355" i="7"/>
  <c r="O2182" i="7" l="1"/>
  <c r="N2182" i="7"/>
  <c r="P2183" i="7" s="1"/>
  <c r="L2356" i="7"/>
  <c r="M2355" i="7"/>
  <c r="O2183" i="7" l="1"/>
  <c r="N2183" i="7"/>
  <c r="P2184" i="7" s="1"/>
  <c r="L2357" i="7"/>
  <c r="M2356" i="7"/>
  <c r="O2184" i="7" l="1"/>
  <c r="N2184" i="7"/>
  <c r="P2185" i="7" s="1"/>
  <c r="L2358" i="7"/>
  <c r="M2357" i="7"/>
  <c r="O2185" i="7" l="1"/>
  <c r="N2185" i="7"/>
  <c r="P2186" i="7" s="1"/>
  <c r="M2358" i="7"/>
  <c r="L2359" i="7"/>
  <c r="O2186" i="7" l="1"/>
  <c r="N2186" i="7"/>
  <c r="P2187" i="7" s="1"/>
  <c r="M2359" i="7"/>
  <c r="L2360" i="7"/>
  <c r="O2187" i="7" l="1"/>
  <c r="N2187" i="7"/>
  <c r="P2188" i="7" s="1"/>
  <c r="M2360" i="7"/>
  <c r="L2361" i="7"/>
  <c r="O2188" i="7" l="1"/>
  <c r="N2188" i="7"/>
  <c r="P2189" i="7" s="1"/>
  <c r="M2361" i="7"/>
  <c r="L2362" i="7"/>
  <c r="O2189" i="7" l="1"/>
  <c r="N2189" i="7"/>
  <c r="P2190" i="7" s="1"/>
  <c r="M2362" i="7"/>
  <c r="L2363" i="7"/>
  <c r="O2190" i="7" l="1"/>
  <c r="N2190" i="7"/>
  <c r="P2191" i="7" s="1"/>
  <c r="L2364" i="7"/>
  <c r="M2363" i="7"/>
  <c r="O2191" i="7" l="1"/>
  <c r="N2191" i="7"/>
  <c r="P2192" i="7" s="1"/>
  <c r="L2365" i="7"/>
  <c r="M2364" i="7"/>
  <c r="O2192" i="7" l="1"/>
  <c r="N2192" i="7"/>
  <c r="P2193" i="7" s="1"/>
  <c r="L2366" i="7"/>
  <c r="M2365" i="7"/>
  <c r="O2193" i="7" l="1"/>
  <c r="N2193" i="7"/>
  <c r="P2194" i="7" s="1"/>
  <c r="L2367" i="7"/>
  <c r="M2366" i="7"/>
  <c r="O2194" i="7" l="1"/>
  <c r="N2194" i="7"/>
  <c r="P2195" i="7" s="1"/>
  <c r="M2367" i="7"/>
  <c r="L2368" i="7"/>
  <c r="O2195" i="7" l="1"/>
  <c r="N2195" i="7"/>
  <c r="P2196" i="7" s="1"/>
  <c r="M2368" i="7"/>
  <c r="L2369" i="7"/>
  <c r="O2196" i="7" l="1"/>
  <c r="N2196" i="7"/>
  <c r="P2197" i="7" s="1"/>
  <c r="M2369" i="7"/>
  <c r="L2370" i="7"/>
  <c r="O2197" i="7" l="1"/>
  <c r="N2197" i="7"/>
  <c r="P2198" i="7" s="1"/>
  <c r="L2371" i="7"/>
  <c r="M2370" i="7"/>
  <c r="O2198" i="7" l="1"/>
  <c r="N2198" i="7"/>
  <c r="P2199" i="7" s="1"/>
  <c r="L2372" i="7"/>
  <c r="M2371" i="7"/>
  <c r="O2199" i="7" l="1"/>
  <c r="N2199" i="7"/>
  <c r="P2200" i="7" s="1"/>
  <c r="L2373" i="7"/>
  <c r="M2372" i="7"/>
  <c r="O2200" i="7" l="1"/>
  <c r="N2200" i="7"/>
  <c r="P2201" i="7" s="1"/>
  <c r="L2374" i="7"/>
  <c r="M2373" i="7"/>
  <c r="O2201" i="7" l="1"/>
  <c r="N2201" i="7"/>
  <c r="P2202" i="7" s="1"/>
  <c r="L2375" i="7"/>
  <c r="M2374" i="7"/>
  <c r="O2202" i="7" l="1"/>
  <c r="N2202" i="7"/>
  <c r="P2203" i="7" s="1"/>
  <c r="M2375" i="7"/>
  <c r="L2376" i="7"/>
  <c r="O2203" i="7" l="1"/>
  <c r="N2203" i="7"/>
  <c r="P2204" i="7" s="1"/>
  <c r="M2376" i="7"/>
  <c r="L2377" i="7"/>
  <c r="O2204" i="7" l="1"/>
  <c r="N2204" i="7"/>
  <c r="P2205" i="7" s="1"/>
  <c r="M2377" i="7"/>
  <c r="L2378" i="7"/>
  <c r="O2205" i="7" l="1"/>
  <c r="N2205" i="7"/>
  <c r="P2206" i="7" s="1"/>
  <c r="M2378" i="7"/>
  <c r="L2379" i="7"/>
  <c r="O2206" i="7" l="1"/>
  <c r="N2206" i="7"/>
  <c r="P2207" i="7" s="1"/>
  <c r="L2380" i="7"/>
  <c r="M2379" i="7"/>
  <c r="O2207" i="7" l="1"/>
  <c r="N2207" i="7"/>
  <c r="P2208" i="7" s="1"/>
  <c r="L2381" i="7"/>
  <c r="M2380" i="7"/>
  <c r="O2208" i="7" l="1"/>
  <c r="N2208" i="7"/>
  <c r="P2209" i="7" s="1"/>
  <c r="L2382" i="7"/>
  <c r="M2381" i="7"/>
  <c r="O2209" i="7" l="1"/>
  <c r="N2209" i="7"/>
  <c r="P2210" i="7" s="1"/>
  <c r="L2383" i="7"/>
  <c r="M2382" i="7"/>
  <c r="O2210" i="7" l="1"/>
  <c r="N2210" i="7"/>
  <c r="P2211" i="7" s="1"/>
  <c r="M2383" i="7"/>
  <c r="L2384" i="7"/>
  <c r="O2211" i="7" l="1"/>
  <c r="N2211" i="7"/>
  <c r="P2212" i="7" s="1"/>
  <c r="M2384" i="7"/>
  <c r="L2385" i="7"/>
  <c r="O2212" i="7" l="1"/>
  <c r="N2212" i="7"/>
  <c r="P2213" i="7" s="1"/>
  <c r="M2385" i="7"/>
  <c r="L2386" i="7"/>
  <c r="O2213" i="7" l="1"/>
  <c r="N2213" i="7"/>
  <c r="P2214" i="7" s="1"/>
  <c r="L2387" i="7"/>
  <c r="M2386" i="7"/>
  <c r="O2214" i="7" l="1"/>
  <c r="N2214" i="7"/>
  <c r="P2215" i="7" s="1"/>
  <c r="L2388" i="7"/>
  <c r="M2387" i="7"/>
  <c r="O2215" i="7" l="1"/>
  <c r="N2215" i="7"/>
  <c r="P2216" i="7" s="1"/>
  <c r="L2389" i="7"/>
  <c r="M2388" i="7"/>
  <c r="O2216" i="7" l="1"/>
  <c r="N2216" i="7"/>
  <c r="P2217" i="7" s="1"/>
  <c r="L2390" i="7"/>
  <c r="M2389" i="7"/>
  <c r="O2217" i="7" l="1"/>
  <c r="N2217" i="7"/>
  <c r="P2218" i="7" s="1"/>
  <c r="M2390" i="7"/>
  <c r="L2391" i="7"/>
  <c r="O2218" i="7" l="1"/>
  <c r="N2218" i="7"/>
  <c r="P2219" i="7" s="1"/>
  <c r="M2391" i="7"/>
  <c r="L2392" i="7"/>
  <c r="O2219" i="7" l="1"/>
  <c r="N2219" i="7"/>
  <c r="P2220" i="7" s="1"/>
  <c r="M2392" i="7"/>
  <c r="L2393" i="7"/>
  <c r="O2220" i="7" l="1"/>
  <c r="N2220" i="7"/>
  <c r="P2221" i="7" s="1"/>
  <c r="M2393" i="7"/>
  <c r="L2394" i="7"/>
  <c r="O2221" i="7" l="1"/>
  <c r="N2221" i="7"/>
  <c r="P2222" i="7" s="1"/>
  <c r="M2394" i="7"/>
  <c r="L2395" i="7"/>
  <c r="O2222" i="7" l="1"/>
  <c r="N2222" i="7"/>
  <c r="P2223" i="7" s="1"/>
  <c r="L2396" i="7"/>
  <c r="M2395" i="7"/>
  <c r="O2223" i="7" l="1"/>
  <c r="N2223" i="7"/>
  <c r="P2224" i="7" s="1"/>
  <c r="L2397" i="7"/>
  <c r="M2396" i="7"/>
  <c r="O2224" i="7" l="1"/>
  <c r="N2224" i="7"/>
  <c r="P2225" i="7" s="1"/>
  <c r="L2398" i="7"/>
  <c r="M2397" i="7"/>
  <c r="O2225" i="7" l="1"/>
  <c r="N2225" i="7"/>
  <c r="P2226" i="7" s="1"/>
  <c r="M2398" i="7"/>
  <c r="L2399" i="7"/>
  <c r="O2226" i="7" l="1"/>
  <c r="N2226" i="7"/>
  <c r="P2227" i="7" s="1"/>
  <c r="M2399" i="7"/>
  <c r="L2400" i="7"/>
  <c r="O2227" i="7" l="1"/>
  <c r="N2227" i="7"/>
  <c r="P2228" i="7" s="1"/>
  <c r="M2400" i="7"/>
  <c r="L2401" i="7"/>
  <c r="O2228" i="7" l="1"/>
  <c r="N2228" i="7"/>
  <c r="P2229" i="7" s="1"/>
  <c r="M2401" i="7"/>
  <c r="L2402" i="7"/>
  <c r="O2229" i="7" l="1"/>
  <c r="N2229" i="7"/>
  <c r="P2230" i="7" s="1"/>
  <c r="L2403" i="7"/>
  <c r="M2402" i="7"/>
  <c r="O2230" i="7" l="1"/>
  <c r="N2230" i="7"/>
  <c r="P2231" i="7" s="1"/>
  <c r="L2404" i="7"/>
  <c r="M2403" i="7"/>
  <c r="O2231" i="7" l="1"/>
  <c r="N2231" i="7"/>
  <c r="P2232" i="7" s="1"/>
  <c r="L2405" i="7"/>
  <c r="M2404" i="7"/>
  <c r="O2232" i="7" l="1"/>
  <c r="N2232" i="7"/>
  <c r="P2233" i="7" s="1"/>
  <c r="L2406" i="7"/>
  <c r="M2405" i="7"/>
  <c r="O2233" i="7" l="1"/>
  <c r="N2233" i="7"/>
  <c r="P2234" i="7" s="1"/>
  <c r="L2407" i="7"/>
  <c r="M2406" i="7"/>
  <c r="O2234" i="7" l="1"/>
  <c r="N2234" i="7"/>
  <c r="P2235" i="7" s="1"/>
  <c r="M2407" i="7"/>
  <c r="L2408" i="7"/>
  <c r="O2235" i="7" l="1"/>
  <c r="N2235" i="7"/>
  <c r="P2236" i="7" s="1"/>
  <c r="M2408" i="7"/>
  <c r="L2409" i="7"/>
  <c r="O2236" i="7" l="1"/>
  <c r="N2236" i="7"/>
  <c r="P2237" i="7" s="1"/>
  <c r="M2409" i="7"/>
  <c r="L2410" i="7"/>
  <c r="O2237" i="7" l="1"/>
  <c r="N2237" i="7"/>
  <c r="P2238" i="7" s="1"/>
  <c r="L2411" i="7"/>
  <c r="M2410" i="7"/>
  <c r="O2238" i="7" l="1"/>
  <c r="N2238" i="7"/>
  <c r="P2239" i="7" s="1"/>
  <c r="L2412" i="7"/>
  <c r="M2411" i="7"/>
  <c r="O2239" i="7" l="1"/>
  <c r="N2239" i="7"/>
  <c r="P2240" i="7" s="1"/>
  <c r="L2413" i="7"/>
  <c r="M2412" i="7"/>
  <c r="O2240" i="7" l="1"/>
  <c r="N2240" i="7"/>
  <c r="P2241" i="7" s="1"/>
  <c r="L2414" i="7"/>
  <c r="M2413" i="7"/>
  <c r="O2241" i="7" l="1"/>
  <c r="N2241" i="7"/>
  <c r="P2242" i="7" s="1"/>
  <c r="L2415" i="7"/>
  <c r="M2414" i="7"/>
  <c r="O2242" i="7" l="1"/>
  <c r="N2242" i="7"/>
  <c r="P2243" i="7" s="1"/>
  <c r="M2415" i="7"/>
  <c r="L2416" i="7"/>
  <c r="O2243" i="7" l="1"/>
  <c r="N2243" i="7"/>
  <c r="P2244" i="7" s="1"/>
  <c r="M2416" i="7"/>
  <c r="L2417" i="7"/>
  <c r="O2244" i="7" l="1"/>
  <c r="N2244" i="7"/>
  <c r="P2245" i="7" s="1"/>
  <c r="M2417" i="7"/>
  <c r="L2418" i="7"/>
  <c r="O2245" i="7" l="1"/>
  <c r="N2245" i="7"/>
  <c r="P2246" i="7" s="1"/>
  <c r="L2419" i="7"/>
  <c r="M2418" i="7"/>
  <c r="O2246" i="7" l="1"/>
  <c r="N2246" i="7"/>
  <c r="P2247" i="7" s="1"/>
  <c r="L2420" i="7"/>
  <c r="M2419" i="7"/>
  <c r="O2247" i="7" l="1"/>
  <c r="N2247" i="7"/>
  <c r="P2248" i="7" s="1"/>
  <c r="L2421" i="7"/>
  <c r="M2420" i="7"/>
  <c r="O2248" i="7" l="1"/>
  <c r="N2248" i="7"/>
  <c r="P2249" i="7" s="1"/>
  <c r="L2422" i="7"/>
  <c r="M2421" i="7"/>
  <c r="O2249" i="7" l="1"/>
  <c r="N2249" i="7"/>
  <c r="P2250" i="7" s="1"/>
  <c r="M2422" i="7"/>
  <c r="L2423" i="7"/>
  <c r="O2250" i="7" l="1"/>
  <c r="N2250" i="7"/>
  <c r="P2251" i="7" s="1"/>
  <c r="M2423" i="7"/>
  <c r="L2424" i="7"/>
  <c r="O2251" i="7" l="1"/>
  <c r="N2251" i="7"/>
  <c r="P2252" i="7" s="1"/>
  <c r="M2424" i="7"/>
  <c r="L2425" i="7"/>
  <c r="O2252" i="7" l="1"/>
  <c r="N2252" i="7"/>
  <c r="P2253" i="7" s="1"/>
  <c r="M2425" i="7"/>
  <c r="L2426" i="7"/>
  <c r="O2253" i="7" l="1"/>
  <c r="N2253" i="7"/>
  <c r="P2254" i="7" s="1"/>
  <c r="M2426" i="7"/>
  <c r="L2427" i="7"/>
  <c r="O2254" i="7" l="1"/>
  <c r="N2254" i="7"/>
  <c r="P2255" i="7" s="1"/>
  <c r="L2428" i="7"/>
  <c r="M2427" i="7"/>
  <c r="O2255" i="7" l="1"/>
  <c r="N2255" i="7"/>
  <c r="P2256" i="7" s="1"/>
  <c r="L2429" i="7"/>
  <c r="M2428" i="7"/>
  <c r="O2256" i="7" l="1"/>
  <c r="N2256" i="7"/>
  <c r="P2257" i="7" s="1"/>
  <c r="L2430" i="7"/>
  <c r="M2429" i="7"/>
  <c r="O2257" i="7" l="1"/>
  <c r="N2257" i="7"/>
  <c r="P2258" i="7" s="1"/>
  <c r="L2431" i="7"/>
  <c r="M2430" i="7"/>
  <c r="O2258" i="7" l="1"/>
  <c r="N2258" i="7"/>
  <c r="P2259" i="7" s="1"/>
  <c r="M2431" i="7"/>
  <c r="L2432" i="7"/>
  <c r="O2259" i="7" l="1"/>
  <c r="N2259" i="7"/>
  <c r="P2260" i="7" s="1"/>
  <c r="M2432" i="7"/>
  <c r="L2433" i="7"/>
  <c r="O2260" i="7" l="1"/>
  <c r="N2260" i="7"/>
  <c r="P2261" i="7" s="1"/>
  <c r="M2433" i="7"/>
  <c r="L2434" i="7"/>
  <c r="O2261" i="7" l="1"/>
  <c r="N2261" i="7"/>
  <c r="P2262" i="7" s="1"/>
  <c r="L2435" i="7"/>
  <c r="M2434" i="7"/>
  <c r="O2262" i="7" l="1"/>
  <c r="N2262" i="7"/>
  <c r="P2263" i="7" s="1"/>
  <c r="L2436" i="7"/>
  <c r="M2435" i="7"/>
  <c r="O2263" i="7" l="1"/>
  <c r="N2263" i="7"/>
  <c r="P2264" i="7" s="1"/>
  <c r="L2437" i="7"/>
  <c r="M2436" i="7"/>
  <c r="O2264" i="7" l="1"/>
  <c r="N2264" i="7"/>
  <c r="P2265" i="7" s="1"/>
  <c r="L2438" i="7"/>
  <c r="M2437" i="7"/>
  <c r="O2265" i="7" l="1"/>
  <c r="N2265" i="7"/>
  <c r="P2266" i="7" s="1"/>
  <c r="L2439" i="7"/>
  <c r="M2438" i="7"/>
  <c r="O2266" i="7" l="1"/>
  <c r="N2266" i="7"/>
  <c r="P2267" i="7" s="1"/>
  <c r="M2439" i="7"/>
  <c r="L2440" i="7"/>
  <c r="O2267" i="7" l="1"/>
  <c r="N2267" i="7"/>
  <c r="P2268" i="7" s="1"/>
  <c r="M2440" i="7"/>
  <c r="L2441" i="7"/>
  <c r="O2268" i="7" l="1"/>
  <c r="N2268" i="7"/>
  <c r="P2269" i="7" s="1"/>
  <c r="M2441" i="7"/>
  <c r="L2442" i="7"/>
  <c r="O2269" i="7" l="1"/>
  <c r="N2269" i="7"/>
  <c r="P2270" i="7" s="1"/>
  <c r="M2442" i="7"/>
  <c r="L2443" i="7"/>
  <c r="O2270" i="7" l="1"/>
  <c r="N2270" i="7"/>
  <c r="P2271" i="7" s="1"/>
  <c r="L2444" i="7"/>
  <c r="M2443" i="7"/>
  <c r="O2271" i="7" l="1"/>
  <c r="N2271" i="7"/>
  <c r="P2272" i="7" s="1"/>
  <c r="L2445" i="7"/>
  <c r="M2444" i="7"/>
  <c r="O2272" i="7" l="1"/>
  <c r="N2272" i="7"/>
  <c r="P2273" i="7" s="1"/>
  <c r="L2446" i="7"/>
  <c r="M2445" i="7"/>
  <c r="O2273" i="7" l="1"/>
  <c r="N2273" i="7"/>
  <c r="P2274" i="7" s="1"/>
  <c r="M2446" i="7"/>
  <c r="L2447" i="7"/>
  <c r="O2274" i="7" l="1"/>
  <c r="N2274" i="7"/>
  <c r="P2275" i="7" s="1"/>
  <c r="M2447" i="7"/>
  <c r="L2448" i="7"/>
  <c r="O2275" i="7" l="1"/>
  <c r="N2275" i="7"/>
  <c r="P2276" i="7" s="1"/>
  <c r="M2448" i="7"/>
  <c r="L2449" i="7"/>
  <c r="O2276" i="7" l="1"/>
  <c r="N2276" i="7"/>
  <c r="P2277" i="7" s="1"/>
  <c r="M2449" i="7"/>
  <c r="L2450" i="7"/>
  <c r="O2277" i="7" l="1"/>
  <c r="N2277" i="7"/>
  <c r="P2278" i="7" s="1"/>
  <c r="M2450" i="7"/>
  <c r="L2451" i="7"/>
  <c r="O2278" i="7" l="1"/>
  <c r="N2278" i="7"/>
  <c r="P2279" i="7" s="1"/>
  <c r="L2452" i="7"/>
  <c r="M2451" i="7"/>
  <c r="O2279" i="7" l="1"/>
  <c r="N2279" i="7"/>
  <c r="P2280" i="7" s="1"/>
  <c r="L2453" i="7"/>
  <c r="M2452" i="7"/>
  <c r="O2280" i="7" l="1"/>
  <c r="N2280" i="7"/>
  <c r="P2281" i="7" s="1"/>
  <c r="M2453" i="7"/>
  <c r="L2454" i="7"/>
  <c r="O2281" i="7" l="1"/>
  <c r="N2281" i="7"/>
  <c r="P2282" i="7" s="1"/>
  <c r="L2455" i="7"/>
  <c r="M2454" i="7"/>
  <c r="O2282" i="7" l="1"/>
  <c r="N2282" i="7"/>
  <c r="P2283" i="7" s="1"/>
  <c r="L2456" i="7"/>
  <c r="M2455" i="7"/>
  <c r="O2283" i="7" l="1"/>
  <c r="N2283" i="7"/>
  <c r="P2284" i="7" s="1"/>
  <c r="M2456" i="7"/>
  <c r="L2457" i="7"/>
  <c r="O2284" i="7" l="1"/>
  <c r="N2284" i="7"/>
  <c r="P2285" i="7" s="1"/>
  <c r="M2457" i="7"/>
  <c r="L2458" i="7"/>
  <c r="O2285" i="7" l="1"/>
  <c r="N2285" i="7"/>
  <c r="P2286" i="7" s="1"/>
  <c r="M2458" i="7"/>
  <c r="L2459" i="7"/>
  <c r="O2286" i="7" l="1"/>
  <c r="N2286" i="7"/>
  <c r="P2287" i="7" s="1"/>
  <c r="M2459" i="7"/>
  <c r="L2460" i="7"/>
  <c r="O2287" i="7" l="1"/>
  <c r="N2287" i="7"/>
  <c r="P2288" i="7" s="1"/>
  <c r="L2461" i="7"/>
  <c r="M2460" i="7"/>
  <c r="O2288" i="7" l="1"/>
  <c r="N2288" i="7"/>
  <c r="P2289" i="7" s="1"/>
  <c r="M2461" i="7"/>
  <c r="L2462" i="7"/>
  <c r="O2289" i="7" l="1"/>
  <c r="N2289" i="7"/>
  <c r="P2290" i="7" s="1"/>
  <c r="L2463" i="7"/>
  <c r="M2462" i="7"/>
  <c r="O2290" i="7" l="1"/>
  <c r="N2290" i="7"/>
  <c r="P2291" i="7" s="1"/>
  <c r="L2464" i="7"/>
  <c r="M2463" i="7"/>
  <c r="O2291" i="7" l="1"/>
  <c r="N2291" i="7"/>
  <c r="P2292" i="7" s="1"/>
  <c r="M2464" i="7"/>
  <c r="L2465" i="7"/>
  <c r="O2292" i="7" l="1"/>
  <c r="N2292" i="7"/>
  <c r="P2293" i="7" s="1"/>
  <c r="L2466" i="7"/>
  <c r="M2465" i="7"/>
  <c r="O2293" i="7" l="1"/>
  <c r="N2293" i="7"/>
  <c r="P2294" i="7" s="1"/>
  <c r="M2466" i="7"/>
  <c r="L2467" i="7"/>
  <c r="O2294" i="7" l="1"/>
  <c r="N2294" i="7"/>
  <c r="P2295" i="7" s="1"/>
  <c r="M2467" i="7"/>
  <c r="L2468" i="7"/>
  <c r="O2295" i="7" l="1"/>
  <c r="N2295" i="7"/>
  <c r="P2296" i="7" s="1"/>
  <c r="L2469" i="7"/>
  <c r="M2468" i="7"/>
  <c r="O2296" i="7" l="1"/>
  <c r="N2296" i="7"/>
  <c r="P2297" i="7" s="1"/>
  <c r="L2470" i="7"/>
  <c r="M2469" i="7"/>
  <c r="O2297" i="7" l="1"/>
  <c r="N2297" i="7"/>
  <c r="P2298" i="7" s="1"/>
  <c r="L2471" i="7"/>
  <c r="M2470" i="7"/>
  <c r="O2298" i="7" l="1"/>
  <c r="N2298" i="7"/>
  <c r="P2299" i="7" s="1"/>
  <c r="L2472" i="7"/>
  <c r="M2471" i="7"/>
  <c r="O2299" i="7" l="1"/>
  <c r="N2299" i="7"/>
  <c r="P2300" i="7" s="1"/>
  <c r="M2472" i="7"/>
  <c r="L2473" i="7"/>
  <c r="O2300" i="7" l="1"/>
  <c r="N2300" i="7"/>
  <c r="P2301" i="7" s="1"/>
  <c r="L2474" i="7"/>
  <c r="M2473" i="7"/>
  <c r="O2301" i="7" l="1"/>
  <c r="N2301" i="7"/>
  <c r="P2302" i="7" s="1"/>
  <c r="M2474" i="7"/>
  <c r="L2475" i="7"/>
  <c r="O2302" i="7" l="1"/>
  <c r="N2302" i="7"/>
  <c r="P2303" i="7" s="1"/>
  <c r="M2475" i="7"/>
  <c r="L2476" i="7"/>
  <c r="O2303" i="7" l="1"/>
  <c r="N2303" i="7"/>
  <c r="P2304" i="7" s="1"/>
  <c r="L2477" i="7"/>
  <c r="M2476" i="7"/>
  <c r="O2304" i="7" l="1"/>
  <c r="N2304" i="7"/>
  <c r="P2305" i="7" s="1"/>
  <c r="L2478" i="7"/>
  <c r="M2477" i="7"/>
  <c r="O2305" i="7" l="1"/>
  <c r="N2305" i="7"/>
  <c r="P2306" i="7" s="1"/>
  <c r="L2479" i="7"/>
  <c r="M2478" i="7"/>
  <c r="O2306" i="7" l="1"/>
  <c r="N2306" i="7"/>
  <c r="P2307" i="7" s="1"/>
  <c r="L2480" i="7"/>
  <c r="M2479" i="7"/>
  <c r="O2307" i="7" l="1"/>
  <c r="N2307" i="7"/>
  <c r="P2308" i="7" s="1"/>
  <c r="M2480" i="7"/>
  <c r="L2481" i="7"/>
  <c r="O2308" i="7" l="1"/>
  <c r="N2308" i="7"/>
  <c r="P2309" i="7" s="1"/>
  <c r="L2482" i="7"/>
  <c r="M2481" i="7"/>
  <c r="O2309" i="7" l="1"/>
  <c r="N2309" i="7"/>
  <c r="P2310" i="7" s="1"/>
  <c r="M2482" i="7"/>
  <c r="L2483" i="7"/>
  <c r="O2310" i="7" l="1"/>
  <c r="N2310" i="7"/>
  <c r="P2311" i="7" s="1"/>
  <c r="M2483" i="7"/>
  <c r="L2484" i="7"/>
  <c r="O2311" i="7" l="1"/>
  <c r="N2311" i="7"/>
  <c r="P2312" i="7" s="1"/>
  <c r="L2485" i="7"/>
  <c r="M2484" i="7"/>
  <c r="O2312" i="7" l="1"/>
  <c r="N2312" i="7"/>
  <c r="P2313" i="7" s="1"/>
  <c r="L2486" i="7"/>
  <c r="M2485" i="7"/>
  <c r="O2313" i="7" l="1"/>
  <c r="N2313" i="7"/>
  <c r="P2314" i="7" s="1"/>
  <c r="L2487" i="7"/>
  <c r="M2486" i="7"/>
  <c r="O2314" i="7" l="1"/>
  <c r="N2314" i="7"/>
  <c r="P2315" i="7" s="1"/>
  <c r="L2488" i="7"/>
  <c r="M2487" i="7"/>
  <c r="O2315" i="7" l="1"/>
  <c r="N2315" i="7"/>
  <c r="P2316" i="7" s="1"/>
  <c r="M2488" i="7"/>
  <c r="L2489" i="7"/>
  <c r="O2316" i="7" l="1"/>
  <c r="N2316" i="7"/>
  <c r="P2317" i="7" s="1"/>
  <c r="M2489" i="7"/>
  <c r="L2490" i="7"/>
  <c r="O2317" i="7" l="1"/>
  <c r="N2317" i="7"/>
  <c r="P2318" i="7" s="1"/>
  <c r="M2490" i="7"/>
  <c r="L2491" i="7"/>
  <c r="O2318" i="7" l="1"/>
  <c r="N2318" i="7"/>
  <c r="P2319" i="7" s="1"/>
  <c r="M2491" i="7"/>
  <c r="L2492" i="7"/>
  <c r="O2319" i="7" l="1"/>
  <c r="N2319" i="7"/>
  <c r="P2320" i="7" s="1"/>
  <c r="L2493" i="7"/>
  <c r="M2492" i="7"/>
  <c r="O2320" i="7" l="1"/>
  <c r="N2320" i="7"/>
  <c r="P2321" i="7" s="1"/>
  <c r="M2493" i="7"/>
  <c r="L2494" i="7"/>
  <c r="O2321" i="7" l="1"/>
  <c r="N2321" i="7"/>
  <c r="P2322" i="7" s="1"/>
  <c r="L2495" i="7"/>
  <c r="M2494" i="7"/>
  <c r="O2322" i="7" l="1"/>
  <c r="N2322" i="7"/>
  <c r="P2323" i="7" s="1"/>
  <c r="L2496" i="7"/>
  <c r="M2495" i="7"/>
  <c r="O2323" i="7" l="1"/>
  <c r="N2323" i="7"/>
  <c r="P2324" i="7" s="1"/>
  <c r="M2496" i="7"/>
  <c r="L2497" i="7"/>
  <c r="O2324" i="7" l="1"/>
  <c r="N2324" i="7"/>
  <c r="P2325" i="7" s="1"/>
  <c r="M2497" i="7"/>
  <c r="L2498" i="7"/>
  <c r="O2325" i="7" l="1"/>
  <c r="N2325" i="7"/>
  <c r="P2326" i="7" s="1"/>
  <c r="M2498" i="7"/>
  <c r="L2499" i="7"/>
  <c r="O2326" i="7" l="1"/>
  <c r="N2326" i="7"/>
  <c r="P2327" i="7" s="1"/>
  <c r="M2499" i="7"/>
  <c r="L2500" i="7"/>
  <c r="O2327" i="7" l="1"/>
  <c r="N2327" i="7"/>
  <c r="P2328" i="7" s="1"/>
  <c r="L2501" i="7"/>
  <c r="M2500" i="7"/>
  <c r="O2328" i="7" l="1"/>
  <c r="N2328" i="7"/>
  <c r="P2329" i="7" s="1"/>
  <c r="L2502" i="7"/>
  <c r="M2501" i="7"/>
  <c r="O2329" i="7" l="1"/>
  <c r="N2329" i="7"/>
  <c r="P2330" i="7" s="1"/>
  <c r="L2503" i="7"/>
  <c r="M2502" i="7"/>
  <c r="O2330" i="7" l="1"/>
  <c r="N2330" i="7"/>
  <c r="P2331" i="7" s="1"/>
  <c r="L2504" i="7"/>
  <c r="M2503" i="7"/>
  <c r="O2331" i="7" l="1"/>
  <c r="N2331" i="7"/>
  <c r="P2332" i="7" s="1"/>
  <c r="M2504" i="7"/>
  <c r="L2505" i="7"/>
  <c r="O2332" i="7" l="1"/>
  <c r="N2332" i="7"/>
  <c r="P2333" i="7" s="1"/>
  <c r="L2506" i="7"/>
  <c r="M2505" i="7"/>
  <c r="O2333" i="7" l="1"/>
  <c r="N2333" i="7"/>
  <c r="P2334" i="7" s="1"/>
  <c r="M2506" i="7"/>
  <c r="L2507" i="7"/>
  <c r="O2334" i="7" l="1"/>
  <c r="N2334" i="7"/>
  <c r="P2335" i="7" s="1"/>
  <c r="M2507" i="7"/>
  <c r="L2508" i="7"/>
  <c r="O2335" i="7" l="1"/>
  <c r="N2335" i="7"/>
  <c r="P2336" i="7" s="1"/>
  <c r="L2509" i="7"/>
  <c r="M2508" i="7"/>
  <c r="O2336" i="7" l="1"/>
  <c r="N2336" i="7"/>
  <c r="P2337" i="7" s="1"/>
  <c r="L2510" i="7"/>
  <c r="M2509" i="7"/>
  <c r="O2337" i="7" l="1"/>
  <c r="N2337" i="7"/>
  <c r="P2338" i="7" s="1"/>
  <c r="L2511" i="7"/>
  <c r="M2510" i="7"/>
  <c r="O2338" i="7" l="1"/>
  <c r="N2338" i="7"/>
  <c r="P2339" i="7" s="1"/>
  <c r="L2512" i="7"/>
  <c r="M2511" i="7"/>
  <c r="O2339" i="7" l="1"/>
  <c r="N2339" i="7"/>
  <c r="P2340" i="7" s="1"/>
  <c r="M2512" i="7"/>
  <c r="L2513" i="7"/>
  <c r="O2340" i="7" l="1"/>
  <c r="N2340" i="7"/>
  <c r="P2341" i="7" s="1"/>
  <c r="L2514" i="7"/>
  <c r="M2513" i="7"/>
  <c r="O2341" i="7" l="1"/>
  <c r="N2341" i="7"/>
  <c r="P2342" i="7" s="1"/>
  <c r="M2514" i="7"/>
  <c r="L2515" i="7"/>
  <c r="O2342" i="7" l="1"/>
  <c r="N2342" i="7"/>
  <c r="P2343" i="7" s="1"/>
  <c r="M2515" i="7"/>
  <c r="L2516" i="7"/>
  <c r="O2343" i="7" l="1"/>
  <c r="N2343" i="7"/>
  <c r="P2344" i="7" s="1"/>
  <c r="L2517" i="7"/>
  <c r="M2516" i="7"/>
  <c r="O2344" i="7" l="1"/>
  <c r="N2344" i="7"/>
  <c r="P2345" i="7" s="1"/>
  <c r="M2517" i="7"/>
  <c r="L2518" i="7"/>
  <c r="O2345" i="7" l="1"/>
  <c r="N2345" i="7"/>
  <c r="P2346" i="7" s="1"/>
  <c r="L2519" i="7"/>
  <c r="M2518" i="7"/>
  <c r="O2346" i="7" l="1"/>
  <c r="N2346" i="7"/>
  <c r="P2347" i="7" s="1"/>
  <c r="L2520" i="7"/>
  <c r="M2519" i="7"/>
  <c r="O2347" i="7" l="1"/>
  <c r="N2347" i="7"/>
  <c r="P2348" i="7" s="1"/>
  <c r="M2520" i="7"/>
  <c r="L2521" i="7"/>
  <c r="O2348" i="7" l="1"/>
  <c r="N2348" i="7"/>
  <c r="P2349" i="7" s="1"/>
  <c r="M2521" i="7"/>
  <c r="L2522" i="7"/>
  <c r="O2349" i="7" l="1"/>
  <c r="N2349" i="7"/>
  <c r="P2350" i="7" s="1"/>
  <c r="M2522" i="7"/>
  <c r="L2523" i="7"/>
  <c r="O2350" i="7" l="1"/>
  <c r="N2350" i="7"/>
  <c r="P2351" i="7" s="1"/>
  <c r="M2523" i="7"/>
  <c r="L2524" i="7"/>
  <c r="O2351" i="7" l="1"/>
  <c r="N2351" i="7"/>
  <c r="P2352" i="7" s="1"/>
  <c r="L2525" i="7"/>
  <c r="M2524" i="7"/>
  <c r="O2352" i="7" l="1"/>
  <c r="N2352" i="7"/>
  <c r="P2353" i="7" s="1"/>
  <c r="M2525" i="7"/>
  <c r="L2526" i="7"/>
  <c r="O2353" i="7" l="1"/>
  <c r="N2353" i="7"/>
  <c r="P2354" i="7" s="1"/>
  <c r="L2527" i="7"/>
  <c r="M2526" i="7"/>
  <c r="O2354" i="7" l="1"/>
  <c r="N2354" i="7"/>
  <c r="P2355" i="7" s="1"/>
  <c r="L2528" i="7"/>
  <c r="M2527" i="7"/>
  <c r="O2355" i="7" l="1"/>
  <c r="N2355" i="7"/>
  <c r="P2356" i="7" s="1"/>
  <c r="M2528" i="7"/>
  <c r="L2529" i="7"/>
  <c r="O2356" i="7" l="1"/>
  <c r="N2356" i="7"/>
  <c r="P2357" i="7" s="1"/>
  <c r="L2530" i="7"/>
  <c r="M2529" i="7"/>
  <c r="O2357" i="7" l="1"/>
  <c r="N2357" i="7"/>
  <c r="P2358" i="7" s="1"/>
  <c r="M2530" i="7"/>
  <c r="L2531" i="7"/>
  <c r="O2358" i="7" l="1"/>
  <c r="N2358" i="7"/>
  <c r="P2359" i="7" s="1"/>
  <c r="M2531" i="7"/>
  <c r="L2532" i="7"/>
  <c r="O2359" i="7" l="1"/>
  <c r="N2359" i="7"/>
  <c r="P2360" i="7" s="1"/>
  <c r="L2533" i="7"/>
  <c r="M2532" i="7"/>
  <c r="O2360" i="7" l="1"/>
  <c r="N2360" i="7"/>
  <c r="P2361" i="7" s="1"/>
  <c r="L2534" i="7"/>
  <c r="M2533" i="7"/>
  <c r="O2361" i="7" l="1"/>
  <c r="N2361" i="7"/>
  <c r="P2362" i="7" s="1"/>
  <c r="L2535" i="7"/>
  <c r="M2534" i="7"/>
  <c r="O2362" i="7" l="1"/>
  <c r="N2362" i="7"/>
  <c r="P2363" i="7" s="1"/>
  <c r="L2536" i="7"/>
  <c r="M2535" i="7"/>
  <c r="O2363" i="7" l="1"/>
  <c r="N2363" i="7"/>
  <c r="P2364" i="7" s="1"/>
  <c r="M2536" i="7"/>
  <c r="L2537" i="7"/>
  <c r="O2364" i="7" l="1"/>
  <c r="N2364" i="7"/>
  <c r="P2365" i="7" s="1"/>
  <c r="L2538" i="7"/>
  <c r="M2537" i="7"/>
  <c r="O2365" i="7" l="1"/>
  <c r="N2365" i="7"/>
  <c r="P2366" i="7" s="1"/>
  <c r="M2538" i="7"/>
  <c r="L2539" i="7"/>
  <c r="O2366" i="7" l="1"/>
  <c r="N2366" i="7"/>
  <c r="P2367" i="7" s="1"/>
  <c r="M2539" i="7"/>
  <c r="L2540" i="7"/>
  <c r="O2367" i="7" l="1"/>
  <c r="N2367" i="7"/>
  <c r="P2368" i="7" s="1"/>
  <c r="L2541" i="7"/>
  <c r="M2540" i="7"/>
  <c r="O2368" i="7" l="1"/>
  <c r="N2368" i="7"/>
  <c r="P2369" i="7" s="1"/>
  <c r="M2541" i="7"/>
  <c r="L2542" i="7"/>
  <c r="O2369" i="7" l="1"/>
  <c r="N2369" i="7"/>
  <c r="P2370" i="7" s="1"/>
  <c r="L2543" i="7"/>
  <c r="M2542" i="7"/>
  <c r="O2370" i="7" l="1"/>
  <c r="N2370" i="7"/>
  <c r="P2371" i="7" s="1"/>
  <c r="L2544" i="7"/>
  <c r="M2543" i="7"/>
  <c r="O2371" i="7" l="1"/>
  <c r="N2371" i="7"/>
  <c r="P2372" i="7" s="1"/>
  <c r="M2544" i="7"/>
  <c r="L2545" i="7"/>
  <c r="O2372" i="7" l="1"/>
  <c r="N2372" i="7"/>
  <c r="P2373" i="7" s="1"/>
  <c r="L2546" i="7"/>
  <c r="M2545" i="7"/>
  <c r="O2373" i="7" l="1"/>
  <c r="N2373" i="7"/>
  <c r="P2374" i="7" s="1"/>
  <c r="M2546" i="7"/>
  <c r="L2547" i="7"/>
  <c r="O2374" i="7" l="1"/>
  <c r="N2374" i="7"/>
  <c r="P2375" i="7" s="1"/>
  <c r="M2547" i="7"/>
  <c r="L2548" i="7"/>
  <c r="O2375" i="7" l="1"/>
  <c r="N2375" i="7"/>
  <c r="P2376" i="7" s="1"/>
  <c r="L2549" i="7"/>
  <c r="M2548" i="7"/>
  <c r="O2376" i="7" l="1"/>
  <c r="N2376" i="7"/>
  <c r="P2377" i="7" s="1"/>
  <c r="M2549" i="7"/>
  <c r="L2550" i="7"/>
  <c r="O2377" i="7" l="1"/>
  <c r="N2377" i="7"/>
  <c r="P2378" i="7" s="1"/>
  <c r="L2551" i="7"/>
  <c r="M2550" i="7"/>
  <c r="O2378" i="7" l="1"/>
  <c r="N2378" i="7"/>
  <c r="P2379" i="7" s="1"/>
  <c r="L2552" i="7"/>
  <c r="M2551" i="7"/>
  <c r="O2379" i="7" l="1"/>
  <c r="N2379" i="7"/>
  <c r="P2380" i="7" s="1"/>
  <c r="M2552" i="7"/>
  <c r="L2553" i="7"/>
  <c r="O2380" i="7" l="1"/>
  <c r="N2380" i="7"/>
  <c r="P2381" i="7" s="1"/>
  <c r="L2554" i="7"/>
  <c r="M2553" i="7"/>
  <c r="O2381" i="7" l="1"/>
  <c r="N2381" i="7"/>
  <c r="P2382" i="7" s="1"/>
  <c r="M2554" i="7"/>
  <c r="L2555" i="7"/>
  <c r="O2382" i="7" l="1"/>
  <c r="N2382" i="7"/>
  <c r="P2383" i="7" s="1"/>
  <c r="M2555" i="7"/>
  <c r="L2556" i="7"/>
  <c r="O2383" i="7" l="1"/>
  <c r="N2383" i="7"/>
  <c r="P2384" i="7" s="1"/>
  <c r="L2557" i="7"/>
  <c r="M2556" i="7"/>
  <c r="O2384" i="7" l="1"/>
  <c r="N2384" i="7"/>
  <c r="P2385" i="7" s="1"/>
  <c r="M2557" i="7"/>
  <c r="L2558" i="7"/>
  <c r="O2385" i="7" l="1"/>
  <c r="N2385" i="7"/>
  <c r="P2386" i="7" s="1"/>
  <c r="L2559" i="7"/>
  <c r="M2558" i="7"/>
  <c r="O2386" i="7" l="1"/>
  <c r="N2386" i="7"/>
  <c r="P2387" i="7" s="1"/>
  <c r="L2560" i="7"/>
  <c r="M2559" i="7"/>
  <c r="O2387" i="7" l="1"/>
  <c r="N2387" i="7"/>
  <c r="P2388" i="7" s="1"/>
  <c r="M2560" i="7"/>
  <c r="L2561" i="7"/>
  <c r="O2388" i="7" l="1"/>
  <c r="N2388" i="7"/>
  <c r="P2389" i="7" s="1"/>
  <c r="L2562" i="7"/>
  <c r="M2561" i="7"/>
  <c r="O2389" i="7" l="1"/>
  <c r="N2389" i="7"/>
  <c r="P2390" i="7" s="1"/>
  <c r="M2562" i="7"/>
  <c r="L2563" i="7"/>
  <c r="O2390" i="7" l="1"/>
  <c r="N2390" i="7"/>
  <c r="P2391" i="7" s="1"/>
  <c r="M2563" i="7"/>
  <c r="L2564" i="7"/>
  <c r="O2391" i="7" l="1"/>
  <c r="N2391" i="7"/>
  <c r="P2392" i="7" s="1"/>
  <c r="L2565" i="7"/>
  <c r="M2564" i="7"/>
  <c r="O2392" i="7" l="1"/>
  <c r="N2392" i="7"/>
  <c r="P2393" i="7" s="1"/>
  <c r="M2565" i="7"/>
  <c r="L2566" i="7"/>
  <c r="O2393" i="7" l="1"/>
  <c r="N2393" i="7"/>
  <c r="P2394" i="7" s="1"/>
  <c r="L2567" i="7"/>
  <c r="M2566" i="7"/>
  <c r="O2394" i="7" l="1"/>
  <c r="N2394" i="7"/>
  <c r="P2395" i="7" s="1"/>
  <c r="L2568" i="7"/>
  <c r="M2567" i="7"/>
  <c r="O2395" i="7" l="1"/>
  <c r="N2395" i="7"/>
  <c r="P2396" i="7" s="1"/>
  <c r="M2568" i="7"/>
  <c r="L2569" i="7"/>
  <c r="O2396" i="7" l="1"/>
  <c r="N2396" i="7"/>
  <c r="P2397" i="7" s="1"/>
  <c r="L2570" i="7"/>
  <c r="M2569" i="7"/>
  <c r="O2397" i="7" l="1"/>
  <c r="N2397" i="7"/>
  <c r="P2398" i="7" s="1"/>
  <c r="M2570" i="7"/>
  <c r="L2571" i="7"/>
  <c r="O2398" i="7" l="1"/>
  <c r="N2398" i="7"/>
  <c r="P2399" i="7" s="1"/>
  <c r="M2571" i="7"/>
  <c r="L2572" i="7"/>
  <c r="O2399" i="7" l="1"/>
  <c r="N2399" i="7"/>
  <c r="P2400" i="7" s="1"/>
  <c r="L2573" i="7"/>
  <c r="M2572" i="7"/>
  <c r="O2400" i="7" l="1"/>
  <c r="N2400" i="7"/>
  <c r="P2401" i="7" s="1"/>
  <c r="M2573" i="7"/>
  <c r="L2574" i="7"/>
  <c r="O2401" i="7" l="1"/>
  <c r="N2401" i="7"/>
  <c r="P2402" i="7" s="1"/>
  <c r="L2575" i="7"/>
  <c r="M2574" i="7"/>
  <c r="O2402" i="7" l="1"/>
  <c r="N2402" i="7"/>
  <c r="P2403" i="7" s="1"/>
  <c r="L2576" i="7"/>
  <c r="M2575" i="7"/>
  <c r="O2403" i="7" l="1"/>
  <c r="N2403" i="7"/>
  <c r="P2404" i="7" s="1"/>
  <c r="M2576" i="7"/>
  <c r="L2577" i="7"/>
  <c r="O2404" i="7" l="1"/>
  <c r="N2404" i="7"/>
  <c r="P2405" i="7" s="1"/>
  <c r="L2578" i="7"/>
  <c r="M2577" i="7"/>
  <c r="O2405" i="7" l="1"/>
  <c r="N2405" i="7"/>
  <c r="P2406" i="7" s="1"/>
  <c r="M2578" i="7"/>
  <c r="L2579" i="7"/>
  <c r="O2406" i="7" l="1"/>
  <c r="N2406" i="7"/>
  <c r="P2407" i="7" s="1"/>
  <c r="M2579" i="7"/>
  <c r="L2580" i="7"/>
  <c r="O2407" i="7" l="1"/>
  <c r="N2407" i="7"/>
  <c r="P2408" i="7" s="1"/>
  <c r="L2581" i="7"/>
  <c r="M2580" i="7"/>
  <c r="O2408" i="7" l="1"/>
  <c r="N2408" i="7"/>
  <c r="P2409" i="7" s="1"/>
  <c r="M2581" i="7"/>
  <c r="L2582" i="7"/>
  <c r="O2409" i="7" l="1"/>
  <c r="N2409" i="7"/>
  <c r="P2410" i="7" s="1"/>
  <c r="L2583" i="7"/>
  <c r="M2582" i="7"/>
  <c r="O2410" i="7" l="1"/>
  <c r="N2410" i="7"/>
  <c r="P2411" i="7" s="1"/>
  <c r="L2584" i="7"/>
  <c r="M2583" i="7"/>
  <c r="O2411" i="7" l="1"/>
  <c r="N2411" i="7"/>
  <c r="P2412" i="7" s="1"/>
  <c r="M2584" i="7"/>
  <c r="L2585" i="7"/>
  <c r="O2412" i="7" l="1"/>
  <c r="N2412" i="7"/>
  <c r="P2413" i="7" s="1"/>
  <c r="L2586" i="7"/>
  <c r="M2585" i="7"/>
  <c r="O2413" i="7" l="1"/>
  <c r="N2413" i="7"/>
  <c r="P2414" i="7" s="1"/>
  <c r="M2586" i="7"/>
  <c r="L2587" i="7"/>
  <c r="O2414" i="7" l="1"/>
  <c r="N2414" i="7"/>
  <c r="P2415" i="7" s="1"/>
  <c r="M2587" i="7"/>
  <c r="M2588" i="7" s="1"/>
  <c r="J31" i="7"/>
  <c r="U31" i="7" s="1"/>
  <c r="O2415" i="7" l="1"/>
  <c r="N2415" i="7"/>
  <c r="P2416" i="7" s="1"/>
  <c r="O2416" i="7" l="1"/>
  <c r="N2416" i="7"/>
  <c r="P2417" i="7" s="1"/>
  <c r="O2417" i="7" l="1"/>
  <c r="N2417" i="7"/>
  <c r="P2418" i="7" s="1"/>
  <c r="O2418" i="7" l="1"/>
  <c r="N2418" i="7"/>
  <c r="P2419" i="7" s="1"/>
  <c r="O2419" i="7" l="1"/>
  <c r="N2419" i="7"/>
  <c r="P2420" i="7" s="1"/>
  <c r="O2420" i="7" l="1"/>
  <c r="N2420" i="7"/>
  <c r="P2421" i="7" s="1"/>
  <c r="O2421" i="7" l="1"/>
  <c r="N2421" i="7"/>
  <c r="P2422" i="7" s="1"/>
  <c r="O2422" i="7" l="1"/>
  <c r="N2422" i="7"/>
  <c r="P2423" i="7" s="1"/>
  <c r="O2423" i="7" l="1"/>
  <c r="N2423" i="7"/>
  <c r="P2424" i="7" s="1"/>
  <c r="O2424" i="7" l="1"/>
  <c r="N2424" i="7"/>
  <c r="P2425" i="7" s="1"/>
  <c r="O2425" i="7" l="1"/>
  <c r="N2425" i="7"/>
  <c r="P2426" i="7" s="1"/>
  <c r="O2426" i="7" l="1"/>
  <c r="N2426" i="7"/>
  <c r="P2427" i="7" s="1"/>
  <c r="O2427" i="7" l="1"/>
  <c r="N2427" i="7"/>
  <c r="P2428" i="7" s="1"/>
  <c r="O2428" i="7" l="1"/>
  <c r="N2428" i="7"/>
  <c r="P2429" i="7" s="1"/>
  <c r="O2429" i="7" l="1"/>
  <c r="N2429" i="7"/>
  <c r="P2430" i="7" s="1"/>
  <c r="O2430" i="7" l="1"/>
  <c r="N2430" i="7"/>
  <c r="P2431" i="7" s="1"/>
  <c r="O2431" i="7" l="1"/>
  <c r="N2431" i="7"/>
  <c r="P2432" i="7" s="1"/>
  <c r="O2432" i="7" l="1"/>
  <c r="N2432" i="7"/>
  <c r="P2433" i="7" s="1"/>
  <c r="O2433" i="7" l="1"/>
  <c r="N2433" i="7"/>
  <c r="P2434" i="7" s="1"/>
  <c r="O2434" i="7" l="1"/>
  <c r="N2434" i="7"/>
  <c r="P2435" i="7" s="1"/>
  <c r="O2435" i="7" l="1"/>
  <c r="N2435" i="7"/>
  <c r="P2436" i="7" s="1"/>
  <c r="O2436" i="7" l="1"/>
  <c r="N2436" i="7"/>
  <c r="P2437" i="7" s="1"/>
  <c r="O2437" i="7" l="1"/>
  <c r="N2437" i="7"/>
  <c r="P2438" i="7" s="1"/>
  <c r="O2438" i="7" l="1"/>
  <c r="N2438" i="7"/>
  <c r="P2439" i="7" s="1"/>
  <c r="O2439" i="7" l="1"/>
  <c r="N2439" i="7"/>
  <c r="P2440" i="7" s="1"/>
  <c r="O2440" i="7" l="1"/>
  <c r="N2440" i="7"/>
  <c r="P2441" i="7" s="1"/>
  <c r="O2441" i="7" l="1"/>
  <c r="N2441" i="7"/>
  <c r="P2442" i="7" s="1"/>
  <c r="O2442" i="7" l="1"/>
  <c r="N2442" i="7"/>
  <c r="P2443" i="7" s="1"/>
  <c r="O2443" i="7" l="1"/>
  <c r="N2443" i="7"/>
  <c r="P2444" i="7" s="1"/>
  <c r="O2444" i="7" l="1"/>
  <c r="N2444" i="7"/>
  <c r="P2445" i="7" s="1"/>
  <c r="O2445" i="7" l="1"/>
  <c r="N2445" i="7"/>
  <c r="P2446" i="7" s="1"/>
  <c r="O2446" i="7" l="1"/>
  <c r="N2446" i="7"/>
  <c r="P2447" i="7" s="1"/>
  <c r="O2447" i="7" l="1"/>
  <c r="N2447" i="7"/>
  <c r="P2448" i="7" s="1"/>
  <c r="O2448" i="7" l="1"/>
  <c r="N2448" i="7"/>
  <c r="P2449" i="7" s="1"/>
  <c r="O2449" i="7" l="1"/>
  <c r="N2449" i="7"/>
  <c r="P2450" i="7" s="1"/>
  <c r="O2450" i="7" l="1"/>
  <c r="N2450" i="7"/>
  <c r="P2451" i="7" s="1"/>
  <c r="O2451" i="7" l="1"/>
  <c r="N2451" i="7"/>
  <c r="P2452" i="7" s="1"/>
  <c r="O2452" i="7" l="1"/>
  <c r="N2452" i="7"/>
  <c r="P2453" i="7" s="1"/>
  <c r="O2453" i="7" l="1"/>
  <c r="N2453" i="7"/>
  <c r="P2454" i="7" s="1"/>
  <c r="O2454" i="7" l="1"/>
  <c r="N2454" i="7"/>
  <c r="P2455" i="7" s="1"/>
  <c r="O2455" i="7" l="1"/>
  <c r="N2455" i="7"/>
  <c r="P2456" i="7" s="1"/>
  <c r="O2456" i="7" l="1"/>
  <c r="N2456" i="7"/>
  <c r="P2457" i="7" s="1"/>
  <c r="O2457" i="7" l="1"/>
  <c r="N2457" i="7"/>
  <c r="P2458" i="7" s="1"/>
  <c r="O2458" i="7" l="1"/>
  <c r="N2458" i="7"/>
  <c r="P2459" i="7" s="1"/>
  <c r="O2459" i="7" l="1"/>
  <c r="N2459" i="7"/>
  <c r="P2460" i="7" s="1"/>
  <c r="O2460" i="7" l="1"/>
  <c r="N2460" i="7"/>
  <c r="P2461" i="7" s="1"/>
  <c r="O2461" i="7" l="1"/>
  <c r="N2461" i="7"/>
  <c r="P2462" i="7" s="1"/>
  <c r="O2462" i="7" l="1"/>
  <c r="N2462" i="7"/>
  <c r="P2463" i="7" s="1"/>
  <c r="O2463" i="7" l="1"/>
  <c r="N2463" i="7"/>
  <c r="P2464" i="7" s="1"/>
  <c r="O2464" i="7" l="1"/>
  <c r="N2464" i="7"/>
  <c r="P2465" i="7" s="1"/>
  <c r="O2465" i="7" l="1"/>
  <c r="N2465" i="7"/>
  <c r="P2466" i="7" s="1"/>
  <c r="O2466" i="7" l="1"/>
  <c r="N2466" i="7"/>
  <c r="P2467" i="7" s="1"/>
  <c r="O2467" i="7" l="1"/>
  <c r="N2467" i="7"/>
  <c r="P2468" i="7" s="1"/>
  <c r="O2468" i="7" l="1"/>
  <c r="N2468" i="7"/>
  <c r="P2469" i="7" s="1"/>
  <c r="O2469" i="7" l="1"/>
  <c r="N2469" i="7"/>
  <c r="P2470" i="7" s="1"/>
  <c r="O2470" i="7" l="1"/>
  <c r="N2470" i="7"/>
  <c r="P2471" i="7" s="1"/>
  <c r="O2471" i="7" l="1"/>
  <c r="N2471" i="7"/>
  <c r="P2472" i="7" s="1"/>
  <c r="O2472" i="7" l="1"/>
  <c r="N2472" i="7"/>
  <c r="P2473" i="7" s="1"/>
  <c r="O2473" i="7" l="1"/>
  <c r="N2473" i="7"/>
  <c r="P2474" i="7" s="1"/>
  <c r="O2474" i="7" l="1"/>
  <c r="N2474" i="7"/>
  <c r="P2475" i="7" s="1"/>
  <c r="O2475" i="7" l="1"/>
  <c r="N2475" i="7"/>
  <c r="P2476" i="7" s="1"/>
  <c r="O2476" i="7" l="1"/>
  <c r="N2476" i="7"/>
  <c r="P2477" i="7" s="1"/>
  <c r="O2477" i="7" l="1"/>
  <c r="N2477" i="7"/>
  <c r="P2478" i="7" s="1"/>
  <c r="O2478" i="7" l="1"/>
  <c r="N2478" i="7"/>
  <c r="P2479" i="7" s="1"/>
  <c r="O2479" i="7" l="1"/>
  <c r="N2479" i="7"/>
  <c r="P2480" i="7" s="1"/>
  <c r="O2480" i="7" l="1"/>
  <c r="N2480" i="7"/>
  <c r="P2481" i="7" s="1"/>
  <c r="O2481" i="7" l="1"/>
  <c r="N2481" i="7"/>
  <c r="P2482" i="7" s="1"/>
  <c r="O2482" i="7" l="1"/>
  <c r="N2482" i="7"/>
  <c r="P2483" i="7" s="1"/>
  <c r="O2483" i="7" l="1"/>
  <c r="N2483" i="7"/>
  <c r="P2484" i="7" s="1"/>
  <c r="O2484" i="7" l="1"/>
  <c r="N2484" i="7"/>
  <c r="P2485" i="7" s="1"/>
  <c r="O2485" i="7" l="1"/>
  <c r="N2485" i="7"/>
  <c r="P2486" i="7" s="1"/>
  <c r="O2486" i="7" l="1"/>
  <c r="N2486" i="7"/>
  <c r="P2487" i="7" s="1"/>
  <c r="O2487" i="7" l="1"/>
  <c r="N2487" i="7"/>
  <c r="P2488" i="7" s="1"/>
  <c r="O2488" i="7" l="1"/>
  <c r="N2488" i="7"/>
  <c r="P2489" i="7" s="1"/>
  <c r="O2489" i="7" l="1"/>
  <c r="N2489" i="7"/>
  <c r="P2490" i="7" s="1"/>
  <c r="O2490" i="7" l="1"/>
  <c r="N2490" i="7"/>
  <c r="P2491" i="7" s="1"/>
  <c r="O2491" i="7" l="1"/>
  <c r="N2491" i="7"/>
  <c r="P2492" i="7" s="1"/>
  <c r="O2492" i="7" l="1"/>
  <c r="N2492" i="7"/>
  <c r="P2493" i="7" s="1"/>
  <c r="O2493" i="7" l="1"/>
  <c r="N2493" i="7"/>
  <c r="P2494" i="7" s="1"/>
  <c r="O2494" i="7" l="1"/>
  <c r="N2494" i="7"/>
  <c r="P2495" i="7" s="1"/>
  <c r="O2495" i="7" l="1"/>
  <c r="N2495" i="7"/>
  <c r="P2496" i="7" s="1"/>
  <c r="O2496" i="7" l="1"/>
  <c r="N2496" i="7"/>
  <c r="P2497" i="7" s="1"/>
  <c r="O2497" i="7" l="1"/>
  <c r="N2497" i="7"/>
  <c r="P2498" i="7" s="1"/>
  <c r="O2498" i="7" l="1"/>
  <c r="N2498" i="7"/>
  <c r="P2499" i="7" s="1"/>
  <c r="O2499" i="7" l="1"/>
  <c r="N2499" i="7"/>
  <c r="P2500" i="7" s="1"/>
  <c r="O2500" i="7" l="1"/>
  <c r="N2500" i="7"/>
  <c r="P2501" i="7" s="1"/>
  <c r="O2501" i="7" l="1"/>
  <c r="N2501" i="7"/>
  <c r="P2502" i="7" s="1"/>
  <c r="O2502" i="7" l="1"/>
  <c r="N2502" i="7"/>
  <c r="P2503" i="7" s="1"/>
  <c r="O2503" i="7" l="1"/>
  <c r="N2503" i="7"/>
  <c r="P2504" i="7" s="1"/>
  <c r="O2504" i="7" l="1"/>
  <c r="N2504" i="7"/>
  <c r="P2505" i="7" s="1"/>
  <c r="O2505" i="7" l="1"/>
  <c r="N2505" i="7"/>
  <c r="P2506" i="7" s="1"/>
  <c r="O2506" i="7" l="1"/>
  <c r="N2506" i="7"/>
  <c r="P2507" i="7" s="1"/>
  <c r="O2507" i="7" l="1"/>
  <c r="N2507" i="7"/>
  <c r="P2508" i="7" s="1"/>
  <c r="O2508" i="7" l="1"/>
  <c r="N2508" i="7"/>
  <c r="P2509" i="7" s="1"/>
  <c r="O2509" i="7" l="1"/>
  <c r="N2509" i="7"/>
  <c r="P2510" i="7" s="1"/>
  <c r="O2510" i="7" l="1"/>
  <c r="N2510" i="7"/>
  <c r="P2511" i="7" s="1"/>
  <c r="O2511" i="7" l="1"/>
  <c r="N2511" i="7"/>
  <c r="P2512" i="7" s="1"/>
  <c r="O2512" i="7" l="1"/>
  <c r="N2512" i="7"/>
  <c r="P2513" i="7" s="1"/>
  <c r="O2513" i="7" l="1"/>
  <c r="N2513" i="7"/>
  <c r="P2514" i="7" s="1"/>
  <c r="O2514" i="7" l="1"/>
  <c r="N2514" i="7"/>
  <c r="P2515" i="7" s="1"/>
  <c r="O2515" i="7" l="1"/>
  <c r="N2515" i="7"/>
  <c r="P2516" i="7" s="1"/>
  <c r="O2516" i="7" l="1"/>
  <c r="N2516" i="7"/>
  <c r="P2517" i="7" s="1"/>
  <c r="O2517" i="7" l="1"/>
  <c r="N2517" i="7"/>
  <c r="P2518" i="7" s="1"/>
  <c r="O2518" i="7" l="1"/>
  <c r="N2518" i="7"/>
  <c r="P2519" i="7" s="1"/>
  <c r="O2519" i="7" l="1"/>
  <c r="N2519" i="7"/>
  <c r="P2520" i="7" s="1"/>
  <c r="O2520" i="7" l="1"/>
  <c r="N2520" i="7"/>
  <c r="P2521" i="7" s="1"/>
  <c r="O2521" i="7" l="1"/>
  <c r="N2521" i="7"/>
  <c r="P2522" i="7" s="1"/>
  <c r="O2522" i="7" l="1"/>
  <c r="N2522" i="7"/>
  <c r="P2523" i="7" s="1"/>
  <c r="O2523" i="7" l="1"/>
  <c r="N2523" i="7"/>
  <c r="P2524" i="7" s="1"/>
  <c r="O2524" i="7" l="1"/>
  <c r="N2524" i="7"/>
  <c r="P2525" i="7" s="1"/>
  <c r="O2525" i="7" l="1"/>
  <c r="N2525" i="7"/>
  <c r="P2526" i="7" s="1"/>
  <c r="O2526" i="7" l="1"/>
  <c r="N2526" i="7"/>
  <c r="P2527" i="7" s="1"/>
  <c r="O2527" i="7" l="1"/>
  <c r="N2527" i="7"/>
  <c r="P2528" i="7" s="1"/>
  <c r="O2528" i="7" l="1"/>
  <c r="N2528" i="7"/>
  <c r="P2529" i="7" s="1"/>
  <c r="O2529" i="7" l="1"/>
  <c r="N2529" i="7"/>
  <c r="P2530" i="7" s="1"/>
  <c r="O2530" i="7" l="1"/>
  <c r="N2530" i="7"/>
  <c r="P2531" i="7" s="1"/>
  <c r="O2531" i="7" l="1"/>
  <c r="N2531" i="7"/>
  <c r="P2532" i="7" s="1"/>
  <c r="O2532" i="7" l="1"/>
  <c r="N2532" i="7"/>
  <c r="P2533" i="7" s="1"/>
  <c r="O2533" i="7" l="1"/>
  <c r="N2533" i="7"/>
  <c r="P2534" i="7" s="1"/>
  <c r="O2534" i="7" l="1"/>
  <c r="N2534" i="7"/>
  <c r="P2535" i="7" s="1"/>
  <c r="O2535" i="7" l="1"/>
  <c r="N2535" i="7"/>
  <c r="P2536" i="7" s="1"/>
  <c r="O2536" i="7" l="1"/>
  <c r="N2536" i="7"/>
  <c r="P2537" i="7" s="1"/>
  <c r="O2537" i="7" l="1"/>
  <c r="N2537" i="7"/>
  <c r="P2538" i="7" s="1"/>
  <c r="O2538" i="7" l="1"/>
  <c r="N2538" i="7"/>
  <c r="P2539" i="7" s="1"/>
  <c r="O2539" i="7" l="1"/>
  <c r="N2539" i="7"/>
  <c r="P2540" i="7" s="1"/>
  <c r="O2540" i="7" l="1"/>
  <c r="N2540" i="7"/>
  <c r="P2541" i="7" s="1"/>
  <c r="O2541" i="7" l="1"/>
  <c r="N2541" i="7"/>
  <c r="P2542" i="7" s="1"/>
  <c r="O2542" i="7" l="1"/>
  <c r="N2542" i="7"/>
  <c r="P2543" i="7" s="1"/>
  <c r="O2543" i="7" l="1"/>
  <c r="N2543" i="7"/>
  <c r="P2544" i="7" s="1"/>
  <c r="O2544" i="7" l="1"/>
  <c r="N2544" i="7"/>
  <c r="P2545" i="7" s="1"/>
  <c r="O2545" i="7" l="1"/>
  <c r="N2545" i="7"/>
  <c r="P2546" i="7" s="1"/>
  <c r="O2546" i="7" l="1"/>
  <c r="N2546" i="7"/>
  <c r="P2547" i="7" s="1"/>
  <c r="O2547" i="7" l="1"/>
  <c r="N2547" i="7"/>
  <c r="P2548" i="7" s="1"/>
  <c r="O2548" i="7" l="1"/>
  <c r="N2548" i="7"/>
  <c r="P2549" i="7" s="1"/>
  <c r="O2549" i="7" l="1"/>
  <c r="N2549" i="7"/>
  <c r="P2550" i="7" s="1"/>
  <c r="O2550" i="7" l="1"/>
  <c r="N2550" i="7"/>
  <c r="P2551" i="7" s="1"/>
  <c r="O2551" i="7" l="1"/>
  <c r="N2551" i="7"/>
  <c r="P2552" i="7" s="1"/>
  <c r="O2552" i="7" l="1"/>
  <c r="N2552" i="7"/>
  <c r="P2553" i="7" s="1"/>
  <c r="O2553" i="7" l="1"/>
  <c r="N2553" i="7"/>
  <c r="P2554" i="7" s="1"/>
  <c r="O2554" i="7" l="1"/>
  <c r="N2554" i="7"/>
  <c r="P2555" i="7" s="1"/>
  <c r="O2555" i="7" l="1"/>
  <c r="N2555" i="7"/>
  <c r="P2556" i="7" s="1"/>
  <c r="O2556" i="7" l="1"/>
  <c r="N2556" i="7"/>
  <c r="P2557" i="7" s="1"/>
  <c r="O2557" i="7" l="1"/>
  <c r="N2557" i="7"/>
  <c r="P2558" i="7" s="1"/>
  <c r="O2558" i="7" l="1"/>
  <c r="N2558" i="7"/>
  <c r="P2559" i="7" s="1"/>
  <c r="O2559" i="7" l="1"/>
  <c r="N2559" i="7"/>
  <c r="P2560" i="7" s="1"/>
  <c r="O2560" i="7" l="1"/>
  <c r="N2560" i="7"/>
  <c r="P2561" i="7" s="1"/>
  <c r="O2561" i="7" l="1"/>
  <c r="N2561" i="7"/>
  <c r="P2562" i="7" s="1"/>
  <c r="O2562" i="7" l="1"/>
  <c r="N2562" i="7"/>
  <c r="P2563" i="7" s="1"/>
  <c r="O2563" i="7" l="1"/>
  <c r="N2563" i="7"/>
  <c r="P2564" i="7" s="1"/>
  <c r="O2564" i="7" l="1"/>
  <c r="N2564" i="7"/>
  <c r="P2565" i="7" s="1"/>
  <c r="O2565" i="7" l="1"/>
  <c r="N2565" i="7"/>
  <c r="P2566" i="7" s="1"/>
  <c r="O2566" i="7" l="1"/>
  <c r="N2566" i="7"/>
  <c r="P2567" i="7" s="1"/>
  <c r="O2567" i="7" l="1"/>
  <c r="N2567" i="7"/>
  <c r="P2568" i="7" s="1"/>
  <c r="O2568" i="7" l="1"/>
  <c r="N2568" i="7"/>
  <c r="P2569" i="7" s="1"/>
  <c r="O2569" i="7" l="1"/>
  <c r="N2569" i="7"/>
  <c r="P2570" i="7" s="1"/>
  <c r="O2570" i="7" l="1"/>
  <c r="N2570" i="7"/>
  <c r="P2571" i="7" s="1"/>
  <c r="O2571" i="7" l="1"/>
  <c r="N2571" i="7"/>
  <c r="P2572" i="7" s="1"/>
  <c r="O2572" i="7" l="1"/>
  <c r="N2572" i="7"/>
  <c r="P2573" i="7" s="1"/>
  <c r="O2573" i="7" l="1"/>
  <c r="N2573" i="7"/>
  <c r="P2574" i="7" s="1"/>
  <c r="O2574" i="7" l="1"/>
  <c r="N2574" i="7"/>
  <c r="P2575" i="7" s="1"/>
  <c r="O2575" i="7" l="1"/>
  <c r="N2575" i="7"/>
  <c r="P2576" i="7" s="1"/>
  <c r="O2576" i="7" l="1"/>
  <c r="N2576" i="7"/>
  <c r="P2577" i="7" s="1"/>
  <c r="O2577" i="7" l="1"/>
  <c r="N2577" i="7"/>
  <c r="P2578" i="7" s="1"/>
  <c r="O2578" i="7" l="1"/>
  <c r="N2578" i="7"/>
  <c r="P2579" i="7" s="1"/>
  <c r="O2579" i="7" l="1"/>
  <c r="N2579" i="7"/>
  <c r="P2580" i="7" s="1"/>
  <c r="O2580" i="7" l="1"/>
  <c r="N2580" i="7"/>
  <c r="P2581" i="7" s="1"/>
  <c r="O2581" i="7" l="1"/>
  <c r="N2581" i="7"/>
  <c r="P2582" i="7" s="1"/>
  <c r="O2582" i="7" l="1"/>
  <c r="N2582" i="7"/>
  <c r="P2583" i="7" s="1"/>
  <c r="O2583" i="7" l="1"/>
  <c r="N2583" i="7"/>
  <c r="P2584" i="7" s="1"/>
  <c r="O2584" i="7" l="1"/>
  <c r="N2584" i="7"/>
  <c r="P2585" i="7" s="1"/>
  <c r="O2585" i="7" l="1"/>
  <c r="N2585" i="7"/>
  <c r="P2586" i="7" s="1"/>
  <c r="O2586" i="7" l="1"/>
  <c r="N2586" i="7"/>
  <c r="P2587" i="7" s="1"/>
  <c r="O2587" i="7" l="1"/>
  <c r="P2588" i="7"/>
  <c r="N2587" i="7"/>
  <c r="J32" i="7" l="1"/>
  <c r="U32" i="7" s="1"/>
  <c r="J33" i="7"/>
  <c r="U33" i="7" s="1"/>
  <c r="J34" i="7"/>
  <c r="U34" i="7" s="1"/>
  <c r="J35" i="7"/>
  <c r="U35" i="7" s="1"/>
  <c r="J36" i="7"/>
  <c r="U36" i="7" s="1"/>
  <c r="J37" i="7"/>
  <c r="U37" i="7" s="1"/>
  <c r="J38" i="7"/>
  <c r="U38" i="7" s="1"/>
  <c r="J39" i="7"/>
  <c r="U39" i="7" s="1"/>
  <c r="J40" i="7"/>
  <c r="U40" i="7" s="1"/>
  <c r="J41" i="7"/>
  <c r="U41" i="7" s="1"/>
  <c r="J42" i="7"/>
  <c r="U42" i="7" s="1"/>
  <c r="J43" i="7"/>
  <c r="U43" i="7" s="1"/>
  <c r="J44" i="7"/>
  <c r="U44" i="7" s="1"/>
  <c r="J45" i="7"/>
  <c r="U45" i="7" s="1"/>
  <c r="J46" i="7"/>
  <c r="U46" i="7" s="1"/>
  <c r="J47" i="7"/>
  <c r="U47" i="7" s="1"/>
  <c r="J48" i="7"/>
  <c r="U48" i="7" s="1"/>
  <c r="J49" i="7"/>
  <c r="U49" i="7" s="1"/>
  <c r="J50" i="7"/>
  <c r="U50" i="7" s="1"/>
  <c r="J51" i="7"/>
  <c r="U51" i="7" s="1"/>
  <c r="J52" i="7"/>
  <c r="U52" i="7" s="1"/>
  <c r="J53" i="7"/>
  <c r="U53" i="7" s="1"/>
  <c r="J54" i="7"/>
  <c r="U54" i="7" s="1"/>
  <c r="J55" i="7"/>
  <c r="U55" i="7" s="1"/>
  <c r="J56" i="7"/>
  <c r="U56" i="7" s="1"/>
  <c r="J57" i="7"/>
  <c r="U57" i="7" s="1"/>
  <c r="O2588" i="7"/>
  <c r="J58" i="7"/>
  <c r="U58" i="7" s="1"/>
  <c r="J59" i="7"/>
  <c r="U59" i="7" s="1"/>
  <c r="J60" i="7" l="1"/>
  <c r="J24" i="7" s="1"/>
  <c r="J25" i="7" l="1"/>
  <c r="F21" i="31" l="1"/>
  <c r="F28" i="31" l="1"/>
  <c r="G28" i="31" l="1"/>
  <c r="H28" i="31" l="1"/>
  <c r="I28" i="31" l="1"/>
  <c r="J28" i="31" l="1"/>
  <c r="K28" i="31" l="1"/>
  <c r="F25" i="31" l="1"/>
  <c r="G25" i="31"/>
  <c r="H25" i="31"/>
  <c r="I25" i="31"/>
  <c r="J25" i="31"/>
  <c r="K25" i="31"/>
  <c r="G23" i="31" l="1"/>
  <c r="H23" i="31"/>
  <c r="I23" i="31"/>
  <c r="J23" i="31"/>
  <c r="K23" i="31"/>
  <c r="I176" i="11" l="1"/>
  <c r="I205" i="11" s="1"/>
  <c r="J116" i="11" l="1"/>
  <c r="J139" i="11" s="1"/>
  <c r="J140" i="11" l="1"/>
  <c r="K116" i="11"/>
  <c r="J172" i="11" l="1"/>
  <c r="J210" i="11" s="1"/>
  <c r="J212" i="11" s="1"/>
  <c r="J174" i="11"/>
  <c r="J176" i="11" s="1"/>
  <c r="K138" i="11"/>
  <c r="K139" i="11"/>
  <c r="J205" i="11" l="1"/>
  <c r="K140" i="11"/>
  <c r="K172" i="11"/>
  <c r="L116" i="11"/>
  <c r="L138" i="11" l="1"/>
  <c r="L139" i="11"/>
  <c r="K174" i="11"/>
  <c r="K176" i="11" s="1"/>
  <c r="K205" i="11" s="1"/>
  <c r="K210" i="11"/>
  <c r="K212" i="11" s="1"/>
  <c r="L140" i="11" l="1"/>
  <c r="L172" i="11" s="1"/>
  <c r="L174" i="11" s="1"/>
  <c r="L176" i="11" s="1"/>
  <c r="L205" i="11" s="1"/>
  <c r="F23" i="31"/>
  <c r="M116" i="11"/>
  <c r="L210" i="11" l="1"/>
  <c r="L212" i="11" s="1"/>
  <c r="M138" i="11"/>
  <c r="M139" i="11"/>
  <c r="F33" i="31"/>
  <c r="F35" i="31" s="1"/>
  <c r="M140" i="11" l="1"/>
  <c r="M172" i="11" l="1"/>
  <c r="M210" i="11" s="1"/>
  <c r="M212" i="11" s="1"/>
  <c r="M174" i="11"/>
  <c r="F45" i="31" s="1"/>
  <c r="F46" i="31" s="1"/>
  <c r="N138" i="11"/>
  <c r="N116" i="11"/>
  <c r="O116" i="11"/>
  <c r="O139" i="11" s="1"/>
  <c r="M176" i="11" l="1"/>
  <c r="M205" i="11" s="1"/>
  <c r="N139" i="11"/>
  <c r="N140" i="11" s="1"/>
  <c r="O138" i="11" l="1"/>
  <c r="O140" i="11" s="1"/>
  <c r="N172" i="11" l="1"/>
  <c r="N174" i="11" s="1"/>
  <c r="N176" i="11" s="1"/>
  <c r="N205" i="11" s="1"/>
  <c r="P138" i="11"/>
  <c r="O172" i="11"/>
  <c r="P116" i="11"/>
  <c r="N210" i="11" l="1"/>
  <c r="N212" i="11" s="1"/>
  <c r="P139" i="11"/>
  <c r="O174" i="11"/>
  <c r="O176" i="11" s="1"/>
  <c r="O205" i="11" s="1"/>
  <c r="O210" i="11"/>
  <c r="O212" i="11" s="1"/>
  <c r="P140" i="11" l="1"/>
  <c r="Q138" i="11" s="1"/>
  <c r="P172" i="11" l="1"/>
  <c r="P174" i="11" s="1"/>
  <c r="P176" i="11" s="1"/>
  <c r="P205" i="11" s="1"/>
  <c r="P210" i="11" l="1"/>
  <c r="P212" i="11" s="1"/>
  <c r="Q116" i="11"/>
  <c r="Q139" i="11" l="1"/>
  <c r="G33" i="31"/>
  <c r="G35" i="31" s="1"/>
  <c r="Q140" i="11" l="1"/>
  <c r="R138" i="11" s="1"/>
  <c r="Q172" i="11" l="1"/>
  <c r="G44" i="31" s="1"/>
  <c r="R116" i="11"/>
  <c r="Q210" i="11" l="1"/>
  <c r="Q212" i="11" s="1"/>
  <c r="Q174" i="11"/>
  <c r="G45" i="31" s="1"/>
  <c r="G46" i="31" s="1"/>
  <c r="R139" i="11"/>
  <c r="Q176" i="11" l="1"/>
  <c r="Q205" i="11" s="1"/>
  <c r="R140" i="11"/>
  <c r="S138" i="11" s="1"/>
  <c r="S116" i="11"/>
  <c r="R172" i="11" l="1"/>
  <c r="R174" i="11" s="1"/>
  <c r="R176" i="11" s="1"/>
  <c r="R205" i="11" s="1"/>
  <c r="S139" i="11"/>
  <c r="R210" i="11" l="1"/>
  <c r="R212" i="11" s="1"/>
  <c r="S140" i="11"/>
  <c r="T138" i="11" s="1"/>
  <c r="S172" i="11" l="1"/>
  <c r="S210" i="11" s="1"/>
  <c r="S212" i="11" s="1"/>
  <c r="T116" i="11"/>
  <c r="S174" i="11" l="1"/>
  <c r="S176" i="11" s="1"/>
  <c r="S205" i="11" s="1"/>
  <c r="T139" i="11"/>
  <c r="T140" i="11" l="1"/>
  <c r="U138" i="11" s="1"/>
  <c r="U116" i="11"/>
  <c r="T172" i="11" l="1"/>
  <c r="T174" i="11" s="1"/>
  <c r="T176" i="11" s="1"/>
  <c r="T205" i="11" s="1"/>
  <c r="U139" i="11"/>
  <c r="H33" i="31"/>
  <c r="H35" i="31" s="1"/>
  <c r="T210" i="11" l="1"/>
  <c r="T212" i="11" s="1"/>
  <c r="U140" i="11"/>
  <c r="V138" i="11" s="1"/>
  <c r="U172" i="11" l="1"/>
  <c r="H44" i="31" s="1"/>
  <c r="U210" i="11" l="1"/>
  <c r="U212" i="11" s="1"/>
  <c r="U174" i="11"/>
  <c r="H45" i="31" s="1"/>
  <c r="H46" i="31" s="1"/>
  <c r="V116" i="11"/>
  <c r="U176" i="11" l="1"/>
  <c r="U205" i="11" s="1"/>
  <c r="V139" i="11"/>
  <c r="V140" i="11" l="1"/>
  <c r="W138" i="11" s="1"/>
  <c r="V172" i="11" l="1"/>
  <c r="V174" i="11" s="1"/>
  <c r="V176" i="11" s="1"/>
  <c r="V205" i="11" s="1"/>
  <c r="X116" i="11"/>
  <c r="X139" i="11" s="1"/>
  <c r="W116" i="11"/>
  <c r="V210" i="11" l="1"/>
  <c r="V212" i="11" s="1"/>
  <c r="W139" i="11"/>
  <c r="W140" i="11" s="1"/>
  <c r="X138" i="11" l="1"/>
  <c r="X140" i="11" s="1"/>
  <c r="W172" i="11"/>
  <c r="W174" i="11" l="1"/>
  <c r="W176" i="11" s="1"/>
  <c r="W205" i="11" s="1"/>
  <c r="W210" i="11"/>
  <c r="W212" i="11" s="1"/>
  <c r="Y138" i="11"/>
  <c r="X172" i="11"/>
  <c r="X174" i="11" l="1"/>
  <c r="X176" i="11" s="1"/>
  <c r="X205" i="11" s="1"/>
  <c r="X210" i="11"/>
  <c r="X212" i="11" s="1"/>
  <c r="Y116" i="11" l="1"/>
  <c r="Y139" i="11" l="1"/>
  <c r="Y140" i="11" s="1"/>
  <c r="I33" i="31"/>
  <c r="I35" i="31" s="1"/>
  <c r="Z116" i="11"/>
  <c r="Z139" i="11" l="1"/>
  <c r="Z138" i="11"/>
  <c r="Y172" i="11"/>
  <c r="I44" i="31" s="1"/>
  <c r="Z140" i="11" l="1"/>
  <c r="AA138" i="11" s="1"/>
  <c r="Y174" i="11"/>
  <c r="I45" i="31" s="1"/>
  <c r="I46" i="31" s="1"/>
  <c r="Y210" i="11"/>
  <c r="Y212" i="11" s="1"/>
  <c r="Z172" i="11" l="1"/>
  <c r="Z174" i="11" s="1"/>
  <c r="Z176" i="11" s="1"/>
  <c r="Z205" i="11" s="1"/>
  <c r="Y176" i="11"/>
  <c r="Y205" i="11" s="1"/>
  <c r="AA116" i="11"/>
  <c r="AB116" i="11"/>
  <c r="AB139" i="11" s="1"/>
  <c r="Z210" i="11" l="1"/>
  <c r="Z212" i="11" s="1"/>
  <c r="AA139" i="11"/>
  <c r="AA140" i="11" l="1"/>
  <c r="AB138" i="11" s="1"/>
  <c r="AB140" i="11" s="1"/>
  <c r="AA172" i="11" l="1"/>
  <c r="AA174" i="11" s="1"/>
  <c r="AA176" i="11" s="1"/>
  <c r="AA205" i="11" s="1"/>
  <c r="AC138" i="11"/>
  <c r="AB172" i="11"/>
  <c r="AC116" i="11"/>
  <c r="AA210" i="11" l="1"/>
  <c r="AA212" i="11" s="1"/>
  <c r="AC139" i="11"/>
  <c r="J33" i="31"/>
  <c r="J35" i="31" s="1"/>
  <c r="AB174" i="11"/>
  <c r="AB176" i="11" s="1"/>
  <c r="AB205" i="11" s="1"/>
  <c r="AB210" i="11"/>
  <c r="AB212" i="11" s="1"/>
  <c r="AD116" i="11"/>
  <c r="AC140" i="11" l="1"/>
  <c r="AD138" i="11" s="1"/>
  <c r="AD139" i="11"/>
  <c r="AC172" i="11" l="1"/>
  <c r="J44" i="31" s="1"/>
  <c r="AD140" i="11"/>
  <c r="AD172" i="11" s="1"/>
  <c r="AD210" i="11" s="1"/>
  <c r="AD212" i="11" s="1"/>
  <c r="AC210" i="11" l="1"/>
  <c r="AC212" i="11" s="1"/>
  <c r="AC174" i="11"/>
  <c r="J45" i="31" s="1"/>
  <c r="J46" i="31" s="1"/>
  <c r="AD174" i="11"/>
  <c r="AD176" i="11" s="1"/>
  <c r="AD205" i="11" s="1"/>
  <c r="AC176" i="11" l="1"/>
  <c r="AC205" i="11" s="1"/>
  <c r="K33" i="31" l="1"/>
  <c r="K35" i="31" s="1"/>
  <c r="K44" i="31" l="1"/>
  <c r="K45" i="31"/>
  <c r="K46" i="31" s="1"/>
  <c r="D11" i="31" l="1"/>
  <c r="D109" i="11" l="1"/>
  <c r="D114" i="11" l="1"/>
  <c r="D116" i="11" s="1"/>
  <c r="D142" i="11" l="1"/>
  <c r="D139" i="11" l="1"/>
  <c r="D140" i="11" s="1"/>
  <c r="F44" i="31"/>
  <c r="D143" i="11"/>
  <c r="D217" i="11" l="1"/>
  <c r="D218" i="11" l="1"/>
</calcChain>
</file>

<file path=xl/comments1.xml><?xml version="1.0" encoding="utf-8"?>
<comments xmlns="http://schemas.openxmlformats.org/spreadsheetml/2006/main">
  <authors>
    <author>Исайчев Дмитрий Владимирович</author>
  </authors>
  <commentList>
    <comment ref="D37" authorId="0" shapeId="0">
      <text>
        <r>
          <rPr>
            <sz val="9"/>
            <color indexed="81"/>
            <rFont val="Tahoma"/>
            <family val="2"/>
            <charset val="204"/>
          </rPr>
          <t>Если "нет", то прогноз рассчитывается в ФМ самостоятельно</t>
        </r>
      </text>
    </comment>
  </commentList>
</comments>
</file>

<file path=xl/sharedStrings.xml><?xml version="1.0" encoding="utf-8"?>
<sst xmlns="http://schemas.openxmlformats.org/spreadsheetml/2006/main" count="819" uniqueCount="531">
  <si>
    <t>Финансовая модель по проекту:</t>
  </si>
  <si>
    <t>Наименование проекта</t>
  </si>
  <si>
    <t>Длительность прогнозного периода, кварталов</t>
  </si>
  <si>
    <t>Дата начала прогнозного периода</t>
  </si>
  <si>
    <t>Дата завершения прогнозного периода</t>
  </si>
  <si>
    <t>Месяцев в квартале</t>
  </si>
  <si>
    <t>Ячейки итогов</t>
  </si>
  <si>
    <t>Ячейки заголовков</t>
  </si>
  <si>
    <t>Наименование</t>
  </si>
  <si>
    <t>Единица измерения денежных потоков</t>
  </si>
  <si>
    <t>тыс. руб.</t>
  </si>
  <si>
    <t>Итого</t>
  </si>
  <si>
    <t>Ед. изм.</t>
  </si>
  <si>
    <t>Фонд развития промышленности</t>
  </si>
  <si>
    <t>Наименование программы</t>
  </si>
  <si>
    <t>Проекты развития</t>
  </si>
  <si>
    <t>Комплектующие изделия</t>
  </si>
  <si>
    <t>Конверсия</t>
  </si>
  <si>
    <t>Производительность труда</t>
  </si>
  <si>
    <t>Цифровизация промышленности</t>
  </si>
  <si>
    <t>Лизинг</t>
  </si>
  <si>
    <t>Станкостроение</t>
  </si>
  <si>
    <t>Маркировка лекарств</t>
  </si>
  <si>
    <t>Приоритетные проекты</t>
  </si>
  <si>
    <t>Противодействие эпидемическим заболеваниям</t>
  </si>
  <si>
    <t>Минимальная сумма займа, тыс. руб.</t>
  </si>
  <si>
    <t>Максимальная сумма займа, тыс. руб.</t>
  </si>
  <si>
    <t>Программа финансирования</t>
  </si>
  <si>
    <t>Параметры займа</t>
  </si>
  <si>
    <t>Базовая процентная ставка, % годовых</t>
  </si>
  <si>
    <t>Дата погашения займа</t>
  </si>
  <si>
    <t>Дата процентного платежа</t>
  </si>
  <si>
    <t>Требуемое обеспечение, тыс. руб.</t>
  </si>
  <si>
    <t>Сумма займа, тыс. руб.</t>
  </si>
  <si>
    <t>График обслуживания займа</t>
  </si>
  <si>
    <t>Сумма процентного платежа, тыс. руб.</t>
  </si>
  <si>
    <t>Ежеквартальный платеж, тыс. руб.</t>
  </si>
  <si>
    <t>Месяцев в году</t>
  </si>
  <si>
    <t>Кварталов в году</t>
  </si>
  <si>
    <t>График погашения тела займа</t>
  </si>
  <si>
    <t>Дата погашения тела займа</t>
  </si>
  <si>
    <t>Максимальный срок займа, месяцев</t>
  </si>
  <si>
    <t>Программы финансирования</t>
  </si>
  <si>
    <t>Основные условия</t>
  </si>
  <si>
    <t>Условия для использования льготных процентных ставок</t>
  </si>
  <si>
    <t>Условия</t>
  </si>
  <si>
    <t>Величина льготной ставки, % годовых</t>
  </si>
  <si>
    <r>
      <t xml:space="preserve">Компания заявителя </t>
    </r>
    <r>
      <rPr>
        <b/>
        <sz val="11"/>
        <color theme="1"/>
        <rFont val="Calibri"/>
        <family val="2"/>
        <charset val="204"/>
        <scheme val="minor"/>
      </rPr>
      <t>должна состоять в реестре предприятий оборонно-промышленного комплекса</t>
    </r>
    <r>
      <rPr>
        <sz val="11"/>
        <color theme="1"/>
        <rFont val="Calibri"/>
        <family val="2"/>
        <charset val="204"/>
        <scheme val="minor"/>
      </rPr>
      <t xml:space="preserve"> (ОПК).</t>
    </r>
    <r>
      <rPr>
        <b/>
        <sz val="11"/>
        <color theme="1"/>
        <rFont val="Calibri"/>
        <family val="2"/>
        <charset val="204"/>
        <scheme val="minor"/>
      </rPr>
      <t xml:space="preserve">
Целевой объем продаж новой продукции:</t>
    </r>
    <r>
      <rPr>
        <sz val="11"/>
        <color theme="1"/>
        <rFont val="Calibri"/>
        <family val="2"/>
        <scheme val="minor"/>
      </rPr>
      <t xml:space="preserve"> не менее 50% от суммы займа в год, начиная со 2 года серийного производства.
</t>
    </r>
    <r>
      <rPr>
        <b/>
        <sz val="11"/>
        <color theme="1"/>
        <rFont val="Calibri"/>
        <family val="2"/>
        <charset val="204"/>
        <scheme val="minor"/>
      </rPr>
      <t>Софинансирование со стороны заявителя, частных инвесторов или банков:</t>
    </r>
    <r>
      <rPr>
        <sz val="11"/>
        <color theme="1"/>
        <rFont val="Calibri"/>
        <family val="2"/>
        <scheme val="minor"/>
      </rPr>
      <t xml:space="preserve"> ≥ 20% бюджета проекта, в т.ч. за счет собственных средств или средств акционера ≥ 0% от суммы займа.</t>
    </r>
  </si>
  <si>
    <r>
      <t xml:space="preserve">Заявителю необходимо </t>
    </r>
    <r>
      <rPr>
        <b/>
        <sz val="11"/>
        <color theme="1"/>
        <rFont val="Calibri"/>
        <family val="2"/>
        <charset val="204"/>
        <scheme val="minor"/>
      </rPr>
      <t>быть участником региональной программы повышения производительности труда и иметь сертификат АНО «Федеральный центр компетенций в сфере производительности труда»</t>
    </r>
    <r>
      <rPr>
        <sz val="11"/>
        <color theme="1"/>
        <rFont val="Calibri"/>
        <family val="2"/>
        <charset val="204"/>
        <scheme val="minor"/>
      </rPr>
      <t xml:space="preserve">, о наличии у компании ключевых элементов производственной системы и достаточном уровне использования внутренних ресурсов повышения производительности или наладить у себя производственный поток-образец, подтвердив этот факт в федеральном или региональном центре компетенций
</t>
    </r>
    <r>
      <rPr>
        <b/>
        <sz val="11"/>
        <color theme="1"/>
        <rFont val="Calibri"/>
        <family val="2"/>
        <charset val="204"/>
        <scheme val="minor"/>
      </rPr>
      <t>Целевой показатель прироста производительности труда должен соответствовать целевым показателям, установленным для предприятия Соглашением об участии в Нацпроекте</t>
    </r>
    <r>
      <rPr>
        <sz val="11"/>
        <color theme="1"/>
        <rFont val="Calibri"/>
        <family val="2"/>
        <charset val="204"/>
        <scheme val="minor"/>
      </rPr>
      <t xml:space="preserve"> для соответствующего года  (предусматривает прирост к базовому году не менее 10%, 15% и 30% по результатам 1–3 годов, далее прирост не менее 5% к предыдущему году).
</t>
    </r>
    <r>
      <rPr>
        <b/>
        <sz val="11"/>
        <color theme="1"/>
        <rFont val="Calibri"/>
        <family val="2"/>
        <charset val="204"/>
        <scheme val="minor"/>
      </rPr>
      <t>Ставка 1% годовых подлежит пересмотру, если целевой показатель роста производительности труда  окажется ниже установленного Национальным проектом целевого показателя</t>
    </r>
    <r>
      <rPr>
        <sz val="11"/>
        <color theme="1"/>
        <rFont val="Calibri"/>
        <family val="2"/>
        <charset val="204"/>
        <scheme val="minor"/>
      </rPr>
      <t xml:space="preserve"> для соответствующего года. В этом случае устанавливается ставка на уровне 5% годовых и применяется с момента выдачи займа с уплатой дополнительных процентных платежей в оставшийся до погашения срок действия займа.
</t>
    </r>
    <r>
      <rPr>
        <b/>
        <sz val="11"/>
        <color theme="1"/>
        <rFont val="Calibri"/>
        <family val="2"/>
        <charset val="204"/>
        <scheme val="minor"/>
      </rPr>
      <t>Софинансирование со стороны заявителя, частных инвесторов или банков:</t>
    </r>
    <r>
      <rPr>
        <sz val="11"/>
        <color theme="1"/>
        <rFont val="Calibri"/>
        <family val="2"/>
        <charset val="204"/>
        <scheme val="minor"/>
      </rPr>
      <t xml:space="preserve"> ≥ 20% бюджета проекта, в т.ч. за счет собственных средств или средств акционера ≥ 0% от суммы займа.</t>
    </r>
  </si>
  <si>
    <t>При использовании российского софта или системного интегратора.</t>
  </si>
  <si>
    <r>
      <rPr>
        <b/>
        <sz val="11"/>
        <color theme="1"/>
        <rFont val="Calibri"/>
        <family val="2"/>
        <charset val="204"/>
        <scheme val="minor"/>
      </rPr>
      <t>Рост выработки на одного сотрудника должен ежегодно составлять:</t>
    </r>
    <r>
      <rPr>
        <sz val="11"/>
        <color theme="1"/>
        <rFont val="Calibri"/>
        <family val="2"/>
        <charset val="204"/>
        <scheme val="minor"/>
      </rPr>
      <t xml:space="preserve"> не менее 5% со второго года после получения займа.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charset val="204"/>
        <scheme val="minor"/>
      </rPr>
      <t>Софинансирование со стороны заявителя, частных инвесторов или банков:</t>
    </r>
    <r>
      <rPr>
        <sz val="11"/>
        <color theme="1"/>
        <rFont val="Calibri"/>
        <family val="2"/>
        <scheme val="minor"/>
      </rPr>
      <t xml:space="preserve"> ≥ 20% бюджета проекта, в т.ч. за счет собственных средств или средств акционера ≥ 0% от суммы займа.</t>
    </r>
  </si>
  <si>
    <r>
      <t xml:space="preserve">Займы предоставляются для финансирования </t>
    </r>
    <r>
      <rPr>
        <b/>
        <sz val="11"/>
        <color theme="1"/>
        <rFont val="Calibri"/>
        <family val="2"/>
        <charset val="204"/>
        <scheme val="minor"/>
      </rPr>
      <t>от 10% до 90% первоначального взноса (аванса) лизингополучателя, составляющего от 10% до 50% от стоимости приобретаемого в рамках договора промышленного оборудования.</t>
    </r>
    <r>
      <rPr>
        <sz val="11"/>
        <color theme="1"/>
        <rFont val="Calibri"/>
        <family val="2"/>
        <charset val="204"/>
        <scheme val="minor"/>
      </rPr>
      <t xml:space="preserve">
Сумма займа может составить </t>
    </r>
    <r>
      <rPr>
        <b/>
        <sz val="11"/>
        <color theme="1"/>
        <rFont val="Calibri"/>
        <family val="2"/>
        <charset val="204"/>
        <scheme val="minor"/>
      </rPr>
      <t>до 45% от общей стоимости промышленного оборудования для обрабатывающих производств.</t>
    </r>
    <r>
      <rPr>
        <sz val="11"/>
        <color theme="1"/>
        <rFont val="Calibri"/>
        <family val="2"/>
        <charset val="204"/>
        <scheme val="minor"/>
      </rPr>
      <t xml:space="preserve">
Сумма займа может составить </t>
    </r>
    <r>
      <rPr>
        <b/>
        <sz val="11"/>
        <color theme="1"/>
        <rFont val="Calibri"/>
        <family val="2"/>
        <charset val="204"/>
        <scheme val="minor"/>
      </rPr>
      <t xml:space="preserve">до 27% для других лизинговых проектов, приобретающих отечественное оборудование.
</t>
    </r>
    <r>
      <rPr>
        <sz val="11"/>
        <color theme="1"/>
        <rFont val="Calibri"/>
        <family val="2"/>
        <charset val="204"/>
        <scheme val="minor"/>
      </rPr>
      <t xml:space="preserve">Лизингодателем в рамках проекта </t>
    </r>
    <r>
      <rPr>
        <b/>
        <sz val="11"/>
        <color theme="1"/>
        <rFont val="Calibri"/>
        <family val="2"/>
        <charset val="204"/>
        <scheme val="minor"/>
      </rPr>
      <t>выступает уполномоченная лизинговая компания.</t>
    </r>
    <r>
      <rPr>
        <sz val="11"/>
        <color theme="1"/>
        <rFont val="Calibri"/>
        <family val="2"/>
        <charset val="204"/>
        <scheme val="minor"/>
      </rPr>
      <t xml:space="preserve">
Финансирование проекта может привлекаться </t>
    </r>
    <r>
      <rPr>
        <b/>
        <sz val="11"/>
        <color theme="1"/>
        <rFont val="Calibri"/>
        <family val="2"/>
        <charset val="204"/>
        <scheme val="minor"/>
      </rPr>
      <t>со стороны уполномоченного банка.</t>
    </r>
  </si>
  <si>
    <t>Для обрабатывающих производств.</t>
  </si>
  <si>
    <r>
      <t xml:space="preserve">Займы предоставляются </t>
    </r>
    <r>
      <rPr>
        <b/>
        <sz val="11"/>
        <color theme="1"/>
        <rFont val="Calibri"/>
        <family val="2"/>
        <charset val="204"/>
        <scheme val="minor"/>
      </rPr>
      <t>на целевую закупку специального оборудования.</t>
    </r>
    <r>
      <rPr>
        <sz val="11"/>
        <color theme="1"/>
        <rFont val="Calibri"/>
        <family val="2"/>
        <charset val="204"/>
        <scheme val="minor"/>
      </rPr>
      <t xml:space="preserve">
Погашение основного долга </t>
    </r>
    <r>
      <rPr>
        <b/>
        <sz val="11"/>
        <color theme="1"/>
        <rFont val="Calibri"/>
        <family val="2"/>
        <charset val="204"/>
        <scheme val="minor"/>
      </rPr>
      <t>начинается со 2 года пользования займом.</t>
    </r>
    <r>
      <rPr>
        <sz val="11"/>
        <color theme="1"/>
        <rFont val="Calibri"/>
        <family val="2"/>
        <charset val="204"/>
        <scheme val="minor"/>
      </rPr>
      <t xml:space="preserve">
Единственным доступным видом обеспечения является </t>
    </r>
    <r>
      <rPr>
        <b/>
        <sz val="11"/>
        <color theme="1"/>
        <rFont val="Calibri"/>
        <family val="2"/>
        <charset val="204"/>
        <scheme val="minor"/>
      </rPr>
      <t>банковская гарантия.</t>
    </r>
  </si>
  <si>
    <t>Длительность использования льготной ставки, месяцев</t>
  </si>
  <si>
    <r>
      <rPr>
        <b/>
        <sz val="11"/>
        <color theme="1"/>
        <rFont val="Calibri"/>
        <family val="2"/>
        <charset val="204"/>
        <scheme val="minor"/>
      </rPr>
      <t>Целевое назначение займа:</t>
    </r>
    <r>
      <rPr>
        <sz val="11"/>
        <color theme="1"/>
        <rFont val="Calibri"/>
        <family val="2"/>
        <charset val="204"/>
        <scheme val="minor"/>
      </rPr>
      <t xml:space="preserve">
1. Приобретение оборудования.
2. Пополнение оборотных средств для закупки сырья, материалов и комплектующих.
3. Приобретение критически важной готовой продукции за рубежом.
</t>
    </r>
    <r>
      <rPr>
        <b/>
        <sz val="11"/>
        <color theme="1"/>
        <rFont val="Calibri"/>
        <family val="2"/>
        <charset val="204"/>
        <scheme val="minor"/>
      </rPr>
      <t>Обеспечение:</t>
    </r>
    <r>
      <rPr>
        <sz val="11"/>
        <color theme="1"/>
        <rFont val="Calibri"/>
        <family val="2"/>
        <charset val="204"/>
        <scheme val="minor"/>
      </rPr>
      <t xml:space="preserve">
1. Для финансово устойчивых компаний: в части госкорпораций и ПАО обеспечение не требуется, для других - только поручительство бенефициара и генерального директора (другое обеспечение не требуется).
2. Для прочих компаний – обеспечение в соответствии со стандартом Фонда.
</t>
    </r>
    <r>
      <rPr>
        <b/>
        <sz val="11"/>
        <color theme="1"/>
        <rFont val="Calibri"/>
        <family val="2"/>
        <charset val="204"/>
        <scheme val="minor"/>
      </rPr>
      <t>Софинансирование со стороны заявителя, частных инвесторов или банков:</t>
    </r>
    <r>
      <rPr>
        <sz val="11"/>
        <color theme="1"/>
        <rFont val="Calibri"/>
        <family val="2"/>
        <charset val="204"/>
        <scheme val="minor"/>
      </rPr>
      <t xml:space="preserve"> не требуется.</t>
    </r>
  </si>
  <si>
    <t>Доля софинансирования, %</t>
  </si>
  <si>
    <t>в т.ч. за счет собственных средств, %</t>
  </si>
  <si>
    <t>Минимальный бюджет и минимальная сумма финансирования проекта собственными средствами</t>
  </si>
  <si>
    <t>Лизинг (обрабатывающие производства)</t>
  </si>
  <si>
    <t>№ календарного квартала</t>
  </si>
  <si>
    <t>Год</t>
  </si>
  <si>
    <t>Параметр</t>
  </si>
  <si>
    <t>Баланс</t>
  </si>
  <si>
    <t>Внеоборотные активы</t>
  </si>
  <si>
    <t>Основные средства</t>
  </si>
  <si>
    <t>Оборотные активы</t>
  </si>
  <si>
    <t>Запасы</t>
  </si>
  <si>
    <t>НДС по приобретенным ценностям</t>
  </si>
  <si>
    <t>Дебиторская задолженность</t>
  </si>
  <si>
    <t>Денежные средства</t>
  </si>
  <si>
    <t>Итого внеоборотные активы</t>
  </si>
  <si>
    <t>Итого оборотные активы</t>
  </si>
  <si>
    <t>Капитал и резервы</t>
  </si>
  <si>
    <t>Уставный капитал</t>
  </si>
  <si>
    <t>Нераспределенная прибыль (непокрытый убыток)</t>
  </si>
  <si>
    <t>Итого активы</t>
  </si>
  <si>
    <t>Кредиторская задолженность</t>
  </si>
  <si>
    <t>Итого пассивы</t>
  </si>
  <si>
    <t>Активы - Пассивы</t>
  </si>
  <si>
    <t>Отчет о финансовых результатах</t>
  </si>
  <si>
    <t>Выручка</t>
  </si>
  <si>
    <t>Валовая прибыль (убыток)</t>
  </si>
  <si>
    <t>Прибыль (убыток) от продаж</t>
  </si>
  <si>
    <r>
      <t xml:space="preserve">Коммерческие расходы </t>
    </r>
    <r>
      <rPr>
        <sz val="11"/>
        <color rgb="FFFF0000"/>
        <rFont val="Calibri"/>
        <family val="2"/>
        <charset val="204"/>
        <scheme val="minor"/>
      </rPr>
      <t>(-)</t>
    </r>
  </si>
  <si>
    <r>
      <t xml:space="preserve">Управленческие расходы </t>
    </r>
    <r>
      <rPr>
        <sz val="11"/>
        <color rgb="FFFF0000"/>
        <rFont val="Calibri"/>
        <family val="2"/>
        <charset val="204"/>
        <scheme val="minor"/>
      </rPr>
      <t>(-)</t>
    </r>
  </si>
  <si>
    <r>
      <t>Себестоимость продаж</t>
    </r>
    <r>
      <rPr>
        <sz val="11"/>
        <color rgb="FFFF0000"/>
        <rFont val="Calibri"/>
        <family val="2"/>
        <charset val="204"/>
        <scheme val="minor"/>
      </rPr>
      <t xml:space="preserve"> (-)</t>
    </r>
  </si>
  <si>
    <t>Проценты к получению</t>
  </si>
  <si>
    <t>Прочие доходы</t>
  </si>
  <si>
    <r>
      <t xml:space="preserve">Проценты к уплате </t>
    </r>
    <r>
      <rPr>
        <sz val="11"/>
        <color rgb="FFFF0000"/>
        <rFont val="Calibri"/>
        <family val="2"/>
        <charset val="204"/>
        <scheme val="minor"/>
      </rPr>
      <t>(-)</t>
    </r>
  </si>
  <si>
    <r>
      <t xml:space="preserve">Прочие расходы </t>
    </r>
    <r>
      <rPr>
        <sz val="11"/>
        <color rgb="FFFF0000"/>
        <rFont val="Calibri"/>
        <family val="2"/>
        <charset val="204"/>
        <scheme val="minor"/>
      </rPr>
      <t>(-)</t>
    </r>
  </si>
  <si>
    <t>Прибыль (убыток) до налогообложения</t>
  </si>
  <si>
    <r>
      <t xml:space="preserve">Налог на прибыль </t>
    </r>
    <r>
      <rPr>
        <sz val="11"/>
        <color rgb="FFFF0000"/>
        <rFont val="Calibri"/>
        <family val="2"/>
        <charset val="204"/>
        <scheme val="minor"/>
      </rPr>
      <t>(-)</t>
    </r>
  </si>
  <si>
    <t>Чистая прибыль (убыток)</t>
  </si>
  <si>
    <t>%</t>
  </si>
  <si>
    <t>Отчет о движении денежных средств</t>
  </si>
  <si>
    <t>Денежный поток по операционной деятельности</t>
  </si>
  <si>
    <r>
      <t xml:space="preserve">Уплата налога на прибыль </t>
    </r>
    <r>
      <rPr>
        <sz val="11"/>
        <color rgb="FFFF0000"/>
        <rFont val="Calibri"/>
        <family val="2"/>
        <charset val="204"/>
        <scheme val="minor"/>
      </rPr>
      <t>(-)</t>
    </r>
  </si>
  <si>
    <t>Денежный поток по инвестиционной деятельности</t>
  </si>
  <si>
    <r>
      <t xml:space="preserve">Платежи по капитальным вложениям </t>
    </r>
    <r>
      <rPr>
        <sz val="11"/>
        <color rgb="FFFF0000"/>
        <rFont val="Calibri"/>
        <family val="2"/>
        <charset val="204"/>
        <scheme val="minor"/>
      </rPr>
      <t>(-)</t>
    </r>
  </si>
  <si>
    <t>Денежный поток по финансовой деятельности</t>
  </si>
  <si>
    <t>Итого операционный денежный поток</t>
  </si>
  <si>
    <t>Итого инвестиционный денежный поток</t>
  </si>
  <si>
    <t>Итого финансовый денежный поток</t>
  </si>
  <si>
    <t>ОСВ: Денежные средства</t>
  </si>
  <si>
    <t>Изменение д/с за период</t>
  </si>
  <si>
    <t>Остаток д/с на начало периода</t>
  </si>
  <si>
    <t>Остаток д/с на конец периода</t>
  </si>
  <si>
    <t>EBITDA</t>
  </si>
  <si>
    <t>EBIT</t>
  </si>
  <si>
    <t>EBIT/Проценты</t>
  </si>
  <si>
    <t>Долг / EBITDA</t>
  </si>
  <si>
    <t>Финансовый долг</t>
  </si>
  <si>
    <t>Чистый долг / EBITDA</t>
  </si>
  <si>
    <t>Краткосрочные обязательства</t>
  </si>
  <si>
    <t>Валовая рентабельность</t>
  </si>
  <si>
    <t>доли 1</t>
  </si>
  <si>
    <t>Рентабельность по чистой прибыли</t>
  </si>
  <si>
    <t>Рентабельность по EBIT</t>
  </si>
  <si>
    <t>Рентабельность по EBITDA</t>
  </si>
  <si>
    <t>USD</t>
  </si>
  <si>
    <t>EUR</t>
  </si>
  <si>
    <t>RUB</t>
  </si>
  <si>
    <t>Проекты развития с РФРП</t>
  </si>
  <si>
    <r>
      <rPr>
        <b/>
        <sz val="11"/>
        <color theme="1"/>
        <rFont val="Calibri"/>
        <family val="2"/>
        <charset val="204"/>
        <scheme val="minor"/>
      </rPr>
      <t>Целевой объем продаж новой продукции:</t>
    </r>
    <r>
      <rPr>
        <sz val="11"/>
        <color theme="1"/>
        <rFont val="Calibri"/>
        <family val="2"/>
        <scheme val="minor"/>
      </rPr>
      <t xml:space="preserve"> не менее 50% от суммы займа в год, начиная со 2 года серийного производства.
</t>
    </r>
    <r>
      <rPr>
        <b/>
        <sz val="11"/>
        <color theme="1"/>
        <rFont val="Calibri"/>
        <family val="2"/>
        <charset val="204"/>
        <scheme val="minor"/>
      </rPr>
      <t xml:space="preserve">Заявки на регистрацию результатов интеллектуальной деятельности (РИД) в ходе реализации проекта: </t>
    </r>
    <r>
      <rPr>
        <sz val="11"/>
        <color theme="1"/>
        <rFont val="Calibri"/>
        <family val="2"/>
        <scheme val="minor"/>
      </rPr>
      <t xml:space="preserve">≥ 1.
</t>
    </r>
    <r>
      <rPr>
        <b/>
        <sz val="11"/>
        <color theme="1"/>
        <rFont val="Calibri"/>
        <family val="2"/>
        <charset val="204"/>
        <scheme val="minor"/>
      </rPr>
      <t>Софинансирование со стороны заявителя, частных инвесторов или банков:</t>
    </r>
    <r>
      <rPr>
        <sz val="11"/>
        <color theme="1"/>
        <rFont val="Calibri"/>
        <family val="2"/>
        <scheme val="minor"/>
      </rPr>
      <t xml:space="preserve"> ≥ 50% бюджета проекта, в т.ч. за счет собственных средств или средств акционера ≥ 15% от суммы займа.</t>
    </r>
  </si>
  <si>
    <r>
      <rPr>
        <b/>
        <sz val="11"/>
        <color theme="1"/>
        <rFont val="Calibri"/>
        <family val="2"/>
        <charset val="204"/>
        <scheme val="minor"/>
      </rPr>
      <t>Целевой объем продаж новой продукции:</t>
    </r>
    <r>
      <rPr>
        <sz val="11"/>
        <color theme="1"/>
        <rFont val="Calibri"/>
        <family val="2"/>
        <scheme val="minor"/>
      </rPr>
      <t xml:space="preserve"> не менее 30% от суммы займа в год, начиная со 2 года серийного производства.
</t>
    </r>
    <r>
      <rPr>
        <b/>
        <sz val="11"/>
        <color theme="1"/>
        <rFont val="Calibri"/>
        <family val="2"/>
        <charset val="204"/>
        <scheme val="minor"/>
      </rPr>
      <t xml:space="preserve">Заявки на регистрацию результатов интеллектуальной деятельности (РИД) в ходе реализации проекта: </t>
    </r>
    <r>
      <rPr>
        <sz val="11"/>
        <color theme="1"/>
        <rFont val="Calibri"/>
        <family val="2"/>
        <scheme val="minor"/>
      </rPr>
      <t xml:space="preserve">≥ 1.
</t>
    </r>
    <r>
      <rPr>
        <b/>
        <sz val="11"/>
        <color theme="1"/>
        <rFont val="Calibri"/>
        <family val="2"/>
        <charset val="204"/>
        <scheme val="minor"/>
      </rPr>
      <t>Софинансирование со стороны заявителя, частных инвесторов или банков:</t>
    </r>
    <r>
      <rPr>
        <sz val="11"/>
        <color theme="1"/>
        <rFont val="Calibri"/>
        <family val="2"/>
        <scheme val="minor"/>
      </rPr>
      <t xml:space="preserve"> ≥ 20% бюджета проекта, в т.ч. за счет собственных средств или средств акционера ≥ 0% от суммы займа.</t>
    </r>
  </si>
  <si>
    <t>Комплектующие изделия с РФРП</t>
  </si>
  <si>
    <t>Производительность труда с РФРП</t>
  </si>
  <si>
    <t>Мин. финансирование собственными средствами, 
тыс. руб.</t>
  </si>
  <si>
    <t>Мин. бюджет проекта, 
тыс. руб.</t>
  </si>
  <si>
    <t>Проект</t>
  </si>
  <si>
    <t>Содержание</t>
  </si>
  <si>
    <t>Выводы</t>
  </si>
  <si>
    <t>Изменяемые ячейки</t>
  </si>
  <si>
    <t>Доходы от участия в других организациях</t>
  </si>
  <si>
    <t>Нематериальные активы</t>
  </si>
  <si>
    <t>Результаты исследований и разработок</t>
  </si>
  <si>
    <t>Нематериальные поисковые активы</t>
  </si>
  <si>
    <t>Материальные поисковые активы</t>
  </si>
  <si>
    <t>Доходные вложения в материальные ценности</t>
  </si>
  <si>
    <t>Финансовые вложения</t>
  </si>
  <si>
    <t>Отложенные налоговые активы</t>
  </si>
  <si>
    <t>Прочие внеоборотные активы</t>
  </si>
  <si>
    <t>Денежные средства и денежные эквиваленты</t>
  </si>
  <si>
    <t>Прочие оборотные активы</t>
  </si>
  <si>
    <t>Собственные акции, выкупленные у акционеров</t>
  </si>
  <si>
    <t>Переоценка внеоборотных активов</t>
  </si>
  <si>
    <t>Добавочный капитал (без переоценки)</t>
  </si>
  <si>
    <t>Резервный капитал</t>
  </si>
  <si>
    <t>Долгосрочные обязательства</t>
  </si>
  <si>
    <t>Отложенные налоговые обязательства</t>
  </si>
  <si>
    <t>Оценочные обязательства</t>
  </si>
  <si>
    <t>Доходы будущих периодов</t>
  </si>
  <si>
    <t>Поступления</t>
  </si>
  <si>
    <t>Прочие поступления</t>
  </si>
  <si>
    <t>Платежи</t>
  </si>
  <si>
    <r>
      <t xml:space="preserve">Прочие платежи </t>
    </r>
    <r>
      <rPr>
        <sz val="11"/>
        <color rgb="FFFF0000"/>
        <rFont val="Calibri"/>
        <family val="2"/>
        <charset val="204"/>
        <scheme val="minor"/>
      </rPr>
      <t>(-)</t>
    </r>
  </si>
  <si>
    <t>Дата 1-го платежа по телу займа</t>
  </si>
  <si>
    <t>Дата 1-го процентного платежа</t>
  </si>
  <si>
    <t>Задолженность по телу займа, тыс. руб.</t>
  </si>
  <si>
    <t>Итого сумма платежей, тыс. руб.</t>
  </si>
  <si>
    <t>Исходные параметры</t>
  </si>
  <si>
    <t>Расчётные параметры</t>
  </si>
  <si>
    <t>Продолжительность погашения тела займа, мес.</t>
  </si>
  <si>
    <t>Срок займа, мес.</t>
  </si>
  <si>
    <t>Общие сведения</t>
  </si>
  <si>
    <r>
      <t xml:space="preserve">Предоставление займов </t>
    </r>
    <r>
      <rPr>
        <sz val="11"/>
        <color rgb="FFFF0000"/>
        <rFont val="Calibri"/>
        <family val="2"/>
        <charset val="204"/>
        <scheme val="minor"/>
      </rPr>
      <t>(-)</t>
    </r>
  </si>
  <si>
    <t>Продажа внеоборотных активов</t>
  </si>
  <si>
    <t>Продажа долей участия</t>
  </si>
  <si>
    <t>Возврат выданных займов</t>
  </si>
  <si>
    <t>Дивиденды (проценты) по фин. вложениям</t>
  </si>
  <si>
    <t>Денежные вклады акционеров (учредителей)</t>
  </si>
  <si>
    <t>Выпуск акций (долей участия)</t>
  </si>
  <si>
    <t>Выпуск долговых ценных бумаг</t>
  </si>
  <si>
    <r>
      <t xml:space="preserve">Выкуп акций (долей участия) </t>
    </r>
    <r>
      <rPr>
        <sz val="11"/>
        <color rgb="FFFF0000"/>
        <rFont val="Calibri"/>
        <family val="2"/>
        <charset val="204"/>
        <scheme val="minor"/>
      </rPr>
      <t>(-)</t>
    </r>
  </si>
  <si>
    <r>
      <t xml:space="preserve">Приобретение долей участия в др. организациях </t>
    </r>
    <r>
      <rPr>
        <sz val="11"/>
        <color rgb="FFFF0000"/>
        <rFont val="Calibri"/>
        <family val="2"/>
        <charset val="204"/>
        <scheme val="minor"/>
      </rPr>
      <t>(-)</t>
    </r>
  </si>
  <si>
    <r>
      <t xml:space="preserve">Уплата дивидендов </t>
    </r>
    <r>
      <rPr>
        <sz val="11"/>
        <color rgb="FFFF0000"/>
        <rFont val="Calibri"/>
        <family val="2"/>
        <charset val="204"/>
        <scheme val="minor"/>
      </rPr>
      <t>(-)</t>
    </r>
  </si>
  <si>
    <t>Текущая деятельность</t>
  </si>
  <si>
    <t>Выручка по Проекту</t>
  </si>
  <si>
    <t>Квартальная отчетность</t>
  </si>
  <si>
    <t>Справочно: амортизация</t>
  </si>
  <si>
    <t>Дата середины квартала погашения займа</t>
  </si>
  <si>
    <t>Месяц даты погашения займа</t>
  </si>
  <si>
    <t>Последний месяц квартала, предшествующего дате погашения займа</t>
  </si>
  <si>
    <t>Год получения займа</t>
  </si>
  <si>
    <t>Последний месяц квартала получения займа</t>
  </si>
  <si>
    <t>Календарный год</t>
  </si>
  <si>
    <t>Руководство</t>
  </si>
  <si>
    <t>Показатель</t>
  </si>
  <si>
    <t>Результаты Проекта</t>
  </si>
  <si>
    <t>Валовая прибыль</t>
  </si>
  <si>
    <t>Чистая прибыль</t>
  </si>
  <si>
    <t>Инвестиционный денежный поток (CFI)</t>
  </si>
  <si>
    <t>Финансовый денежный поток (CFF)</t>
  </si>
  <si>
    <t>Чистый денежный поток (NCF)</t>
  </si>
  <si>
    <t>Целевые показатели</t>
  </si>
  <si>
    <t>Объем налоговых поступлений</t>
  </si>
  <si>
    <t>Текущая деятельность (с учетом Проекта)</t>
  </si>
  <si>
    <t>Текущая деятельность с учетом Проекта</t>
  </si>
  <si>
    <t>в т.ч. за период займа</t>
  </si>
  <si>
    <t>Активы</t>
  </si>
  <si>
    <t>Пассивы</t>
  </si>
  <si>
    <t>Прочие краткосрочные обязательства</t>
  </si>
  <si>
    <t>Прочие долгосрочные обязательства</t>
  </si>
  <si>
    <t>Нераспределенная прибыль</t>
  </si>
  <si>
    <t>Чистый долг</t>
  </si>
  <si>
    <t>Лист "Параметры займа"</t>
  </si>
  <si>
    <t>Проверка: установлены все параметры займа</t>
  </si>
  <si>
    <t>Проверка: все параметры займа установлены верно</t>
  </si>
  <si>
    <t>Валюта</t>
  </si>
  <si>
    <t>Пояснение</t>
  </si>
  <si>
    <t>Руководство по заполнению финансовой модели</t>
  </si>
  <si>
    <t>Дата получения займа</t>
  </si>
  <si>
    <t>Установить прогнозную дату получения займа. Если неизвестна, то установить дату середины квартала + 1 день.</t>
  </si>
  <si>
    <t>Установить запрашиваемый срок займа (в месяцах), но не более максимального срока, предусмотренного в рамках выбранной программы.</t>
  </si>
  <si>
    <t>Установить продолжительность срока погашения тела займа (в месяцах) в соответствии со Стандартом Фонда для выбранной программы. Ознакомиться со стандартами можно на сайте Фонда.</t>
  </si>
  <si>
    <t>Установить базовую процентную ставку по займу в соответствии со Стандартом Фонда для выбранной программы. Ознакомиться со стандартами можно на сайте Фонда.</t>
  </si>
  <si>
    <r>
      <t xml:space="preserve">Установить пониженную процентную ставку по займу в случае наличия оснований для её применения. </t>
    </r>
    <r>
      <rPr>
        <sz val="11"/>
        <color theme="1"/>
        <rFont val="Calibri"/>
        <family val="2"/>
        <charset val="204"/>
        <scheme val="minor"/>
      </rPr>
      <t>Если пониженная ставка не применяется, то в ячейке необходимо установить базовую ставку по выбранной программе.</t>
    </r>
  </si>
  <si>
    <t>Итого капитал и резервы</t>
  </si>
  <si>
    <t>Срок займа</t>
  </si>
  <si>
    <t>Сумма займа</t>
  </si>
  <si>
    <t>Продолжительность погашения тела займа</t>
  </si>
  <si>
    <t>Сумма погашения, тыс. руб.</t>
  </si>
  <si>
    <t>Итого долгосрочные обязательства</t>
  </si>
  <si>
    <t>Итого краткосрочные обязательства</t>
  </si>
  <si>
    <t>Примечание</t>
  </si>
  <si>
    <t>Лист "Квартальная отчётность"</t>
  </si>
  <si>
    <t>Установить запрашиваемую сумму займа (в тыс. руб.). Если заём планируется привлекать в рамках программы с региональным фондом, то необходимо установить общую сумму займа.</t>
  </si>
  <si>
    <r>
      <t>Заполнить прогнозный отчет о финансовых результатах по периодам (не накопленным итогом). Основные допущения, использованные при построении прогнозного отчёта, указать на листе "Источники".</t>
    </r>
    <r>
      <rPr>
        <vertAlign val="superscript"/>
        <sz val="11"/>
        <color theme="1"/>
        <rFont val="Calibri"/>
        <family val="2"/>
        <charset val="204"/>
        <scheme val="minor"/>
      </rPr>
      <t>1</t>
    </r>
  </si>
  <si>
    <t>Остаток денежных средств на начало 1-го периода</t>
  </si>
  <si>
    <r>
      <t>Установить фактическое значение остатка денежных средств на конец квартала, предшествующего прогнозному кварталу получения займа ФРП (в т.ч. РФРП).</t>
    </r>
    <r>
      <rPr>
        <vertAlign val="superscript"/>
        <sz val="11"/>
        <color theme="1"/>
        <rFont val="Calibri"/>
        <family val="2"/>
        <charset val="204"/>
        <scheme val="minor"/>
      </rPr>
      <t>2</t>
    </r>
  </si>
  <si>
    <r>
      <t>Заполнить прогнозный отчет о движении денежных средств по периодам (не накопленным итогом). Основные допущения, использованные при построении прогнозного отчёта, указать на листе "Источники".</t>
    </r>
    <r>
      <rPr>
        <vertAlign val="superscript"/>
        <sz val="11"/>
        <color theme="1"/>
        <rFont val="Calibri"/>
        <family val="2"/>
        <charset val="204"/>
        <scheme val="minor"/>
      </rPr>
      <t>1</t>
    </r>
  </si>
  <si>
    <r>
      <rPr>
        <vertAlign val="superscript"/>
        <sz val="11"/>
        <color theme="1"/>
        <rFont val="Calibri"/>
        <family val="2"/>
        <charset val="204"/>
        <scheme val="minor"/>
      </rPr>
      <t xml:space="preserve">1 </t>
    </r>
    <r>
      <rPr>
        <sz val="11"/>
        <color theme="1"/>
        <rFont val="Calibri"/>
        <family val="2"/>
        <charset val="204"/>
        <scheme val="minor"/>
      </rPr>
      <t>С отрицательным знаком указываются платежи по операционной, инвестиционной и финансовой деятельности.</t>
    </r>
    <r>
      <rPr>
        <i/>
        <sz val="11"/>
        <color theme="1"/>
        <rFont val="Calibri"/>
        <family val="2"/>
        <charset val="204"/>
        <scheme val="minor"/>
      </rPr>
      <t xml:space="preserve">
</t>
    </r>
    <r>
      <rPr>
        <vertAlign val="superscript"/>
        <sz val="11"/>
        <color theme="1"/>
        <rFont val="Calibri"/>
        <family val="2"/>
        <charset val="204"/>
        <scheme val="minor"/>
      </rPr>
      <t xml:space="preserve">2 </t>
    </r>
    <r>
      <rPr>
        <sz val="11"/>
        <color theme="1"/>
        <rFont val="Calibri"/>
        <family val="2"/>
        <charset val="204"/>
        <scheme val="minor"/>
      </rPr>
      <t>Согласно бухгалтерской (управленческой) отчетности компании-заявителя.</t>
    </r>
  </si>
  <si>
    <t>Обращение</t>
  </si>
  <si>
    <r>
      <t>EBIT</t>
    </r>
    <r>
      <rPr>
        <sz val="11"/>
        <color theme="1"/>
        <rFont val="Calibri"/>
        <family val="2"/>
        <scheme val="minor"/>
      </rPr>
      <t xml:space="preserve"> / Проценты к уплате</t>
    </r>
  </si>
  <si>
    <t>Обеспечение по повышенной ставке</t>
  </si>
  <si>
    <t>Проекты развития*</t>
  </si>
  <si>
    <t>Проекты развития с РФРП*</t>
  </si>
  <si>
    <t>* если условием для применения льготной ставки является приобретение для реализации проекта отечественного оборудования в размере не менее 50 % суммы займа.</t>
  </si>
  <si>
    <r>
      <t>Исходные параметры</t>
    </r>
    <r>
      <rPr>
        <b/>
        <vertAlign val="superscript"/>
        <sz val="16"/>
        <color theme="1" tint="0.14996795556505021"/>
        <rFont val="Calibri Light"/>
        <family val="2"/>
        <charset val="204"/>
        <scheme val="major"/>
      </rPr>
      <t>1</t>
    </r>
  </si>
  <si>
    <r>
      <t>Выбрать из раскрывающегося списка программу финансирования. Ознакомиться с условиями программ можно на листе "Программы финансирования"</t>
    </r>
    <r>
      <rPr>
        <vertAlign val="superscript"/>
        <sz val="11"/>
        <color theme="1"/>
        <rFont val="Calibri"/>
        <family val="2"/>
        <charset val="204"/>
        <scheme val="minor"/>
      </rPr>
      <t>2</t>
    </r>
    <r>
      <rPr>
        <sz val="11"/>
        <color theme="1"/>
        <rFont val="Calibri"/>
        <family val="2"/>
        <scheme val="minor"/>
      </rPr>
      <t xml:space="preserve"> либо на сайте Фонда.</t>
    </r>
  </si>
  <si>
    <t>Пониженная процентная ставка, % годовых</t>
  </si>
  <si>
    <t>Дата</t>
  </si>
  <si>
    <t>Начисление процентов, тыс. руб.</t>
  </si>
  <si>
    <t>Дата начала начисления % по базовой ставке</t>
  </si>
  <si>
    <t>Проценты с учетом калькуляции по дням</t>
  </si>
  <si>
    <t>Начисление процентов (полная ставка), тыс. руб.</t>
  </si>
  <si>
    <t>Технические расчёты (скрыты)</t>
  </si>
  <si>
    <t>Контактные данные лица, ответственного за предоставление разъяснений по данным в финмодели</t>
  </si>
  <si>
    <t>2015-2021</t>
  </si>
  <si>
    <t>AUD</t>
  </si>
  <si>
    <t>AZN</t>
  </si>
  <si>
    <t>AMD</t>
  </si>
  <si>
    <t>BYN</t>
  </si>
  <si>
    <t>BGN</t>
  </si>
  <si>
    <t>BRL</t>
  </si>
  <si>
    <t>HUF</t>
  </si>
  <si>
    <t>KRW</t>
  </si>
  <si>
    <t>HKD</t>
  </si>
  <si>
    <t>DKK</t>
  </si>
  <si>
    <t>INR</t>
  </si>
  <si>
    <t>KZT</t>
  </si>
  <si>
    <t>CAD</t>
  </si>
  <si>
    <t>KGS</t>
  </si>
  <si>
    <t>CNY</t>
  </si>
  <si>
    <t>MDL</t>
  </si>
  <si>
    <t>TMT</t>
  </si>
  <si>
    <t>NOK</t>
  </si>
  <si>
    <t>PLN</t>
  </si>
  <si>
    <t>RON</t>
  </si>
  <si>
    <t>SGD</t>
  </si>
  <si>
    <t>TJS</t>
  </si>
  <si>
    <t>TRY</t>
  </si>
  <si>
    <t>UZS</t>
  </si>
  <si>
    <t>UAH</t>
  </si>
  <si>
    <t>GBP</t>
  </si>
  <si>
    <t>CZK</t>
  </si>
  <si>
    <t>SEK</t>
  </si>
  <si>
    <t>CHF</t>
  </si>
  <si>
    <t>ZAR</t>
  </si>
  <si>
    <t>JPY</t>
  </si>
  <si>
    <t>Буквенный код</t>
  </si>
  <si>
    <t>Австралийский доллар</t>
  </si>
  <si>
    <t>Азербайджанский манат</t>
  </si>
  <si>
    <t>Белорусский рубль</t>
  </si>
  <si>
    <t>Болгарский лев</t>
  </si>
  <si>
    <t>Бразильский реал</t>
  </si>
  <si>
    <t>Вон Республики Корея</t>
  </si>
  <si>
    <t>Датская крона</t>
  </si>
  <si>
    <t>Доллар США</t>
  </si>
  <si>
    <t>Евро</t>
  </si>
  <si>
    <t>Канадский доллар</t>
  </si>
  <si>
    <t>Китайский юань</t>
  </si>
  <si>
    <t>Новый туркменский манат</t>
  </si>
  <si>
    <t>Польский злотый</t>
  </si>
  <si>
    <t>Румынский лей</t>
  </si>
  <si>
    <t>Сингапурский доллар</t>
  </si>
  <si>
    <t>Фунт стерлингов Соединенного королевства</t>
  </si>
  <si>
    <t>Швейцарский франк</t>
  </si>
  <si>
    <t>Перечень валют</t>
  </si>
  <si>
    <t>Украинская гривна</t>
  </si>
  <si>
    <t>Чешская крона</t>
  </si>
  <si>
    <t>Шведская крона</t>
  </si>
  <si>
    <t>Южноафриканский рэнд</t>
  </si>
  <si>
    <t>Казахстанский тенге</t>
  </si>
  <si>
    <t>Армянский драм</t>
  </si>
  <si>
    <t>Венгерский форинт</t>
  </si>
  <si>
    <t>Гонконгский доллар</t>
  </si>
  <si>
    <t>Индийский рупий</t>
  </si>
  <si>
    <t>Киргизский сом</t>
  </si>
  <si>
    <t>Молдавский лей</t>
  </si>
  <si>
    <t>Норвежская крона</t>
  </si>
  <si>
    <t>Таджикский сомони</t>
  </si>
  <si>
    <t>Турецкая лира</t>
  </si>
  <si>
    <t>Узбекский сум</t>
  </si>
  <si>
    <t>Японская иена</t>
  </si>
  <si>
    <t>Техподдержка финансовой модели Фонда: fm@frprf.ru</t>
  </si>
  <si>
    <t>Валюта денежных потоков - Российский рубль</t>
  </si>
  <si>
    <t>Расчётные ячейки</t>
  </si>
  <si>
    <t>Гарантия на всю сумму займа и на весь срок займа</t>
  </si>
  <si>
    <t>Операционный денежный поток (CFO)</t>
  </si>
  <si>
    <t>Предоставление банковской гарантии, а также гарантии ВЭБ.РФ, Корпорации МСП или РГО.</t>
  </si>
  <si>
    <r>
      <t xml:space="preserve">Предоставление банковской гарантии и/или </t>
    </r>
    <r>
      <rPr>
        <sz val="11"/>
        <color theme="1"/>
        <rFont val="Calibri"/>
        <family val="2"/>
        <charset val="204"/>
        <scheme val="minor"/>
      </rPr>
      <t>гарантий юр. лиц, соответствующих п. 7.3 Стандарта программы</t>
    </r>
    <r>
      <rPr>
        <sz val="11"/>
        <color theme="1"/>
        <rFont val="Calibri"/>
        <family val="2"/>
        <scheme val="minor"/>
      </rPr>
      <t>.</t>
    </r>
  </si>
  <si>
    <t>Лесообработка с РФРП</t>
  </si>
  <si>
    <t>Предоставление банковской гарантии, а также гарантии Корпорации МСП или РГО.</t>
  </si>
  <si>
    <t>При покупке российского оборудования в размере не менее 50% суммы займа.</t>
  </si>
  <si>
    <t>Лесообработка с РФРП*</t>
  </si>
  <si>
    <r>
      <t xml:space="preserve">Заявителю необходимо </t>
    </r>
    <r>
      <rPr>
        <b/>
        <sz val="11"/>
        <color theme="1"/>
        <rFont val="Calibri"/>
        <family val="2"/>
        <charset val="204"/>
        <scheme val="minor"/>
      </rPr>
      <t>быть участником региональной программы повышения производительности труда и иметь сертификат АНО «Федеральный центр компетенций в сфере производительности труда»</t>
    </r>
    <r>
      <rPr>
        <sz val="11"/>
        <color theme="1"/>
        <rFont val="Calibri"/>
        <family val="2"/>
        <charset val="204"/>
        <scheme val="minor"/>
      </rPr>
      <t xml:space="preserve">, о наличии у компании ключевых элементов производственной системы и достаточном уровне использования внутренних ресурсов повышения производительности или наладить у себя производственный поток-образец, подтвердив этот факт в федеральном или региональном центре компетенций
</t>
    </r>
    <r>
      <rPr>
        <b/>
        <sz val="11"/>
        <color theme="1"/>
        <rFont val="Calibri"/>
        <family val="2"/>
        <charset val="204"/>
        <scheme val="minor"/>
      </rPr>
      <t>Целевой показатель прироста производительности труда должен соответствовать целевым показателям, установленным для предприятия Соглашением об участии в Нацпроекте</t>
    </r>
    <r>
      <rPr>
        <sz val="11"/>
        <color theme="1"/>
        <rFont val="Calibri"/>
        <family val="2"/>
        <charset val="204"/>
        <scheme val="minor"/>
      </rPr>
      <t xml:space="preserve"> для соответствующего года  (предусматривает прирост к базовому году не менее 10%, 15% и 30% по результатам 1–3 годов, далее прирост не менее 5% к предыдущему году).
</t>
    </r>
    <r>
      <rPr>
        <b/>
        <sz val="11"/>
        <color theme="1"/>
        <rFont val="Calibri"/>
        <family val="2"/>
        <charset val="204"/>
        <scheme val="minor"/>
      </rPr>
      <t>Ставка 1% годовых подлежит пересмотру, если целевой показатель роста производительности труда  окажется ниже установленного Национальным проектом целевого показателя</t>
    </r>
    <r>
      <rPr>
        <sz val="11"/>
        <color theme="1"/>
        <rFont val="Calibri"/>
        <family val="2"/>
        <charset val="204"/>
        <scheme val="minor"/>
      </rPr>
      <t xml:space="preserve"> для соответствующего года. В этом случае устанавливается ставка на уровне 3% годовых и применяется с момента выдачи займа с уплатой дополнительных процентных платежей в оставшийся до погашения срок действия займа.
</t>
    </r>
    <r>
      <rPr>
        <b/>
        <sz val="11"/>
        <color theme="1"/>
        <rFont val="Calibri"/>
        <family val="2"/>
        <charset val="204"/>
        <scheme val="minor"/>
      </rPr>
      <t>Софинансирование со стороны заявителя, частных инвесторов или банков:</t>
    </r>
    <r>
      <rPr>
        <sz val="11"/>
        <color theme="1"/>
        <rFont val="Calibri"/>
        <family val="2"/>
        <charset val="204"/>
        <scheme val="minor"/>
      </rPr>
      <t xml:space="preserve"> ≥ 20% бюджета проекта, в т.ч. за счет собственных средств или средств акционера ≥ 0% от суммы займа.</t>
    </r>
  </si>
  <si>
    <t>Мин. доля от суммы займа, начиная со 2 года серийного пр-ва, %</t>
  </si>
  <si>
    <t>Критерий целевого объема продаж новой продукции</t>
  </si>
  <si>
    <r>
      <t xml:space="preserve">Финансирование затрат по Проекту </t>
    </r>
    <r>
      <rPr>
        <sz val="11"/>
        <color rgb="FFFF0000"/>
        <rFont val="Calibri"/>
        <family val="2"/>
        <charset val="204"/>
        <scheme val="minor"/>
      </rPr>
      <t>(-)</t>
    </r>
  </si>
  <si>
    <t>Перечень субъектов РФ</t>
  </si>
  <si>
    <t>Наименование субъекта</t>
  </si>
  <si>
    <t>Республика Алтай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</si>
  <si>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</si>
  <si>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</si>
  <si>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</si>
  <si>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</si>
  <si>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Кабардино-Балкарская Республика</t>
  </si>
  <si>
    <t>Республика Калмыкия</t>
  </si>
  <si>
    <t>Карачаево-Черкесская Республика</t>
  </si>
  <si>
    <t>Республика Карелия</t>
  </si>
  <si>
    <t>Республика Коми</t>
  </si>
  <si>
    <t>Республика Крым</t>
  </si>
  <si>
    <t>Республика Марий Эл</t>
  </si>
  <si>
    <t>Республика Мордовия</t>
  </si>
  <si>
    <t>Республика Саха (Якутия)</t>
  </si>
  <si>
    <t>Республика Северная Осетия – Алания</t>
  </si>
  <si>
    <t>Республика Тыва</t>
  </si>
  <si>
    <t>Удмуртская Республика</t>
  </si>
  <si>
    <t>Республика Хакасия</t>
  </si>
  <si>
    <t>Чеченская Республика</t>
  </si>
  <si>
    <t>Алтайский край</t>
  </si>
  <si>
    <t>Забайкальский край</t>
  </si>
  <si>
    <t>Камчатский край</t>
  </si>
  <si>
    <t>Краснодарский край</t>
  </si>
  <si>
    <t>Красноярский край</t>
  </si>
  <si>
    <t>Пермский край</t>
  </si>
  <si>
    <t>Приморский край</t>
  </si>
  <si>
    <t>Ставропольский край</t>
  </si>
  <si>
    <t>Хабаровский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</si>
  <si>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</si>
  <si>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</si>
  <si>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</si>
  <si>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</si>
  <si>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</si>
  <si>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</si>
  <si>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</si>
  <si>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</si>
  <si>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</si>
  <si>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Ивановская область</t>
  </si>
  <si>
    <t>Иркутская область</t>
  </si>
  <si>
    <t>Калининградская область</t>
  </si>
  <si>
    <t>Калужская область</t>
  </si>
  <si>
    <t>Кемеровская область</t>
  </si>
  <si>
    <t>Кировская область</t>
  </si>
  <si>
    <t>Костромская область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</si>
  <si>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</si>
  <si>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</si>
  <si>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</si>
  <si>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</si>
  <si>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</si>
  <si>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</si>
  <si>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Мурманская область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</si>
  <si>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</si>
  <si>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</si>
  <si>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</si>
  <si>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</si>
  <si>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Оренбургская область</t>
  </si>
  <si>
    <t>Орловская область</t>
  </si>
  <si>
    <t>Пензенская область</t>
  </si>
  <si>
    <t>Псковская область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</si>
  <si>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</si>
  <si>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</si>
  <si>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</si>
  <si>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</si>
  <si>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</si>
  <si>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</si>
  <si>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</si>
  <si>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</si>
  <si>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</si>
  <si>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</si>
  <si>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</si>
  <si>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</si>
  <si>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Ульяновская область</t>
  </si>
  <si>
    <t>Челябинская область</t>
  </si>
  <si>
    <t>Ярославская область</t>
  </si>
  <si>
    <t>Еврейская автономная область</t>
  </si>
  <si>
    <t>Ненецкий автономный округ</t>
  </si>
  <si>
    <t>Ханты-Мансийский автономный округ – Югра</t>
  </si>
  <si>
    <t>Чукотский автономный округ</t>
  </si>
  <si>
    <t>Ямало-Ненецкий автономный округ</t>
  </si>
  <si>
    <t>Республика Татарстан</t>
  </si>
  <si>
    <t>Москва</t>
  </si>
  <si>
    <t>Санкт-Петербург</t>
  </si>
  <si>
    <t>Севастополь</t>
  </si>
  <si>
    <t>Республика Адыгея</t>
  </si>
  <si>
    <t>Чувашская Республика</t>
  </si>
  <si>
    <t>Проверка отсутствия отрицательных остатков в течение срока займа</t>
  </si>
  <si>
    <t>Проверка балансового равенства в течение срока займа</t>
  </si>
  <si>
    <t>Проверка балансового равенства в течение всех периодов</t>
  </si>
  <si>
    <t>Проверка отсутствия отрицательных остатков в течение всех периодов</t>
  </si>
  <si>
    <t>Изменение</t>
  </si>
  <si>
    <t>Показатели и коэффициенты</t>
  </si>
  <si>
    <t>нет</t>
  </si>
  <si>
    <r>
      <t xml:space="preserve">Продукция проекта </t>
    </r>
    <r>
      <rPr>
        <b/>
        <sz val="11"/>
        <color theme="1"/>
        <rFont val="Calibri"/>
        <family val="2"/>
        <charset val="204"/>
        <scheme val="minor"/>
      </rPr>
      <t>должна удовлетворять минимум одному из параметров</t>
    </r>
    <r>
      <rPr>
        <sz val="11"/>
        <color theme="1"/>
        <rFont val="Calibri"/>
        <family val="2"/>
        <charset val="204"/>
        <scheme val="minor"/>
      </rPr>
      <t xml:space="preserve"> критически важной продукции:
- Входить в перечень современных технологий для заключения специальных инвестиционных контрактов.
- Быть включенной в отраслевые планы импортозамещения Минпромторга России.
- Не иметь аналогов, производимых в России.
</t>
    </r>
    <r>
      <rPr>
        <b/>
        <sz val="11"/>
        <color theme="1"/>
        <rFont val="Calibri"/>
        <family val="2"/>
        <charset val="204"/>
        <scheme val="minor"/>
      </rPr>
      <t>Софинансирование со стороны заявителя, частных инвесторов или банков:</t>
    </r>
    <r>
      <rPr>
        <sz val="11"/>
        <color theme="1"/>
        <rFont val="Calibri"/>
        <family val="2"/>
        <charset val="204"/>
        <scheme val="minor"/>
      </rPr>
      <t xml:space="preserve"> ≥ 20% бюджета проекта, в т.ч. за счет собственных средств или средств акционера ≥ 0% от суммы займа.</t>
    </r>
  </si>
  <si>
    <t>ПРОГНОЗ</t>
  </si>
  <si>
    <t>ФАКТ</t>
  </si>
  <si>
    <t>тыс. руб./ед.изм.</t>
  </si>
  <si>
    <t>ед.изм.</t>
  </si>
  <si>
    <t>Выручка по продукту 3</t>
  </si>
  <si>
    <t>Цена реализации по продукту 3</t>
  </si>
  <si>
    <t>Объем реализации по продукту 3</t>
  </si>
  <si>
    <t>Выручка по продукту 4</t>
  </si>
  <si>
    <t>Цена реализации по продукту 4</t>
  </si>
  <si>
    <t>Объем реализации по продукту 4</t>
  </si>
  <si>
    <t>Выручка по продукту 5</t>
  </si>
  <si>
    <t>Цена реализации по продукту 5</t>
  </si>
  <si>
    <t>Объем реализации по продукту 5</t>
  </si>
  <si>
    <t>Рассматриваемый период</t>
  </si>
  <si>
    <t>Выручка Проекта (без НДС)</t>
  </si>
  <si>
    <t>Справочно: налоговые платежи</t>
  </si>
  <si>
    <t>Итого налоговые платежи</t>
  </si>
  <si>
    <t>Доля выручки Проекта в общей выручке Компании</t>
  </si>
  <si>
    <t>Прирост</t>
  </si>
  <si>
    <t>Прогноз налоговых платежей</t>
  </si>
  <si>
    <t>Объем налоговых платежей по Проекту</t>
  </si>
  <si>
    <t>Использовать прогноз Заявителя?</t>
  </si>
  <si>
    <t>Прогноз Заявителя</t>
  </si>
  <si>
    <t>Прогноз по ФМ</t>
  </si>
  <si>
    <t>Налоговые платежи по Проекту</t>
  </si>
  <si>
    <t>Ретроспективные данные должны совпадать с отчетностью</t>
  </si>
  <si>
    <t>% от выручки</t>
  </si>
  <si>
    <r>
      <t>Амортизация</t>
    </r>
    <r>
      <rPr>
        <sz val="11"/>
        <color rgb="FFFF0000"/>
        <rFont val="Calibri"/>
        <family val="2"/>
      </rPr>
      <t xml:space="preserve"> (-)</t>
    </r>
  </si>
  <si>
    <t>Поступления по Проекту</t>
  </si>
  <si>
    <t>Поступления по прочей деятельности</t>
  </si>
  <si>
    <r>
      <t xml:space="preserve">Платежи поставщикам и подрядчикам </t>
    </r>
    <r>
      <rPr>
        <sz val="11"/>
        <color rgb="FFFF0000"/>
        <rFont val="Calibri"/>
        <family val="2"/>
        <charset val="204"/>
        <scheme val="minor"/>
      </rPr>
      <t>(-)</t>
    </r>
  </si>
  <si>
    <r>
      <t>Процентные расходы - заем ФРП</t>
    </r>
    <r>
      <rPr>
        <sz val="9.35"/>
        <color rgb="FFFF0000"/>
        <rFont val="Calibri"/>
        <family val="2"/>
        <charset val="204"/>
      </rPr>
      <t xml:space="preserve"> (-)</t>
    </r>
  </si>
  <si>
    <r>
      <t xml:space="preserve">Процентные расходы - прочие кредиты и займы </t>
    </r>
    <r>
      <rPr>
        <sz val="9.35"/>
        <color rgb="FFFF0000"/>
        <rFont val="Calibri"/>
        <family val="2"/>
        <charset val="204"/>
      </rPr>
      <t>(-)</t>
    </r>
  </si>
  <si>
    <r>
      <t>Прочие лизинговые платежи</t>
    </r>
    <r>
      <rPr>
        <sz val="9.35"/>
        <color rgb="FFFF0000"/>
        <rFont val="Calibri"/>
        <family val="2"/>
        <charset val="204"/>
      </rPr>
      <t xml:space="preserve"> (-)</t>
    </r>
  </si>
  <si>
    <r>
      <t>Лизинговые платежи по Проекту</t>
    </r>
    <r>
      <rPr>
        <sz val="9.35"/>
        <color rgb="FFFF0000"/>
        <rFont val="Calibri"/>
        <family val="2"/>
        <charset val="204"/>
      </rPr>
      <t xml:space="preserve"> (-)</t>
    </r>
  </si>
  <si>
    <t>Получение займа ФРП</t>
  </si>
  <si>
    <t>Получение прочих кредитов и займов</t>
  </si>
  <si>
    <r>
      <t xml:space="preserve">Погашение займа ФРП </t>
    </r>
    <r>
      <rPr>
        <sz val="11"/>
        <color rgb="FFFF0000"/>
        <rFont val="Calibri"/>
        <family val="2"/>
        <charset val="204"/>
        <scheme val="minor"/>
      </rPr>
      <t>(-)</t>
    </r>
  </si>
  <si>
    <r>
      <t xml:space="preserve">Погашение прочих кредитов и займов </t>
    </r>
    <r>
      <rPr>
        <sz val="11"/>
        <color rgb="FFFF0000"/>
        <rFont val="Calibri"/>
        <family val="2"/>
        <charset val="204"/>
        <scheme val="minor"/>
      </rPr>
      <t>(-)</t>
    </r>
  </si>
  <si>
    <t>Долг/EBITDA</t>
  </si>
  <si>
    <t>Чистый долг/EBITDA</t>
  </si>
  <si>
    <t>Расчет финансовых индикаторов</t>
  </si>
  <si>
    <t>Версия ФМ: 1.0 - 07.2021</t>
  </si>
  <si>
    <t>Конец квартала</t>
  </si>
  <si>
    <t>Сумма погашения тела займа, тыс. руб.</t>
  </si>
  <si>
    <r>
      <t>Налог на прибыль</t>
    </r>
    <r>
      <rPr>
        <sz val="9.35"/>
        <color rgb="FFFF0000"/>
        <rFont val="Calibri"/>
        <family val="2"/>
        <charset val="204"/>
      </rPr>
      <t xml:space="preserve"> (-)</t>
    </r>
  </si>
  <si>
    <r>
      <t xml:space="preserve">Прочие налоги </t>
    </r>
    <r>
      <rPr>
        <sz val="9.35"/>
        <color rgb="FFFF0000"/>
        <rFont val="Calibri"/>
        <family val="2"/>
        <charset val="204"/>
      </rPr>
      <t>(-)</t>
    </r>
  </si>
  <si>
    <r>
      <t xml:space="preserve">НДС </t>
    </r>
    <r>
      <rPr>
        <sz val="9.35"/>
        <color rgb="FFFF0000"/>
        <rFont val="Calibri"/>
        <family val="2"/>
        <charset val="204"/>
      </rPr>
      <t>(-)</t>
    </r>
  </si>
  <si>
    <r>
      <t xml:space="preserve">Налог на имущество </t>
    </r>
    <r>
      <rPr>
        <sz val="9.35"/>
        <color rgb="FFFF0000"/>
        <rFont val="Calibri"/>
        <family val="2"/>
        <charset val="204"/>
      </rPr>
      <t>(-)</t>
    </r>
  </si>
  <si>
    <r>
      <t>НДФЛ</t>
    </r>
    <r>
      <rPr>
        <sz val="9.35"/>
        <color rgb="FFFF0000"/>
        <rFont val="Calibri"/>
        <family val="2"/>
        <charset val="204"/>
      </rPr>
      <t xml:space="preserve"> (-)</t>
    </r>
  </si>
  <si>
    <t>Заемные средства - займ ФРП</t>
  </si>
  <si>
    <t>Заемные средства - прочие кредиты и займы</t>
  </si>
  <si>
    <t>Порядковый номер квартала</t>
  </si>
  <si>
    <r>
      <t>Проценты к уплате</t>
    </r>
    <r>
      <rPr>
        <sz val="11"/>
        <color rgb="FFFF0000"/>
        <rFont val="Calibri"/>
        <family val="2"/>
      </rPr>
      <t xml:space="preserve"> (-)</t>
    </r>
  </si>
  <si>
    <r>
      <t xml:space="preserve">Уплата страховых взносов </t>
    </r>
    <r>
      <rPr>
        <sz val="11"/>
        <color rgb="FFFF0000"/>
        <rFont val="Calibri"/>
        <family val="2"/>
        <charset val="204"/>
        <scheme val="minor"/>
      </rPr>
      <t>(-)</t>
    </r>
  </si>
  <si>
    <r>
      <t xml:space="preserve">Оплата труда работников с НДФЛ </t>
    </r>
    <r>
      <rPr>
        <sz val="11"/>
        <color rgb="FFFF0000"/>
        <rFont val="Calibri"/>
        <family val="2"/>
        <charset val="204"/>
        <scheme val="minor"/>
      </rPr>
      <t>(-)</t>
    </r>
  </si>
  <si>
    <r>
      <t xml:space="preserve">Страховые взносы </t>
    </r>
    <r>
      <rPr>
        <sz val="9.35"/>
        <color rgb="FFFF0000"/>
        <rFont val="Calibri"/>
        <family val="2"/>
        <charset val="204"/>
      </rPr>
      <t>(-)</t>
    </r>
  </si>
  <si>
    <t>да</t>
  </si>
  <si>
    <r>
      <rPr>
        <vertAlign val="superscript"/>
        <sz val="11"/>
        <color theme="1"/>
        <rFont val="Calibri"/>
        <family val="2"/>
        <charset val="204"/>
        <scheme val="minor"/>
      </rPr>
      <t xml:space="preserve">1 </t>
    </r>
    <r>
      <rPr>
        <sz val="11"/>
        <color theme="1"/>
        <rFont val="Calibri"/>
        <family val="2"/>
        <charset val="204"/>
        <scheme val="minor"/>
      </rPr>
      <t>Расчёт процентов по займу осуществляется с учетом допущения погрешности. Фактическое значение процентов по договору займа может отличаться как в большую, так и в меньшую сторону.</t>
    </r>
    <r>
      <rPr>
        <i/>
        <sz val="11"/>
        <color theme="1"/>
        <rFont val="Calibri"/>
        <family val="2"/>
        <charset val="204"/>
        <scheme val="minor"/>
      </rPr>
      <t xml:space="preserve">
</t>
    </r>
    <r>
      <rPr>
        <vertAlign val="superscript"/>
        <sz val="11"/>
        <color theme="1"/>
        <rFont val="Calibri"/>
        <family val="2"/>
        <charset val="204"/>
        <scheme val="minor"/>
      </rPr>
      <t>2</t>
    </r>
    <r>
      <rPr>
        <sz val="11"/>
        <color theme="1"/>
        <rFont val="Calibri"/>
        <family val="2"/>
        <charset val="204"/>
        <scheme val="minor"/>
      </rPr>
      <t xml:space="preserve"> Информация на листе "Программы финансирования" приведена по состоянию на июль 2021 года. Актуальная информация указана на сайте Фонда.</t>
    </r>
  </si>
  <si>
    <r>
      <rPr>
        <vertAlign val="superscript"/>
        <sz val="11"/>
        <color theme="1"/>
        <rFont val="Calibri"/>
        <family val="2"/>
        <charset val="204"/>
        <scheme val="minor"/>
      </rPr>
      <t xml:space="preserve">1 </t>
    </r>
    <r>
      <rPr>
        <sz val="11"/>
        <color theme="1"/>
        <rFont val="Calibri"/>
        <family val="2"/>
        <charset val="204"/>
        <scheme val="minor"/>
      </rPr>
      <t>С отрицательным знаком указываются: себестоимость, коммерческие и управленческие расходы, прочие расходы, проценты к уплате, налог на прибыль</t>
    </r>
    <r>
      <rPr>
        <vertAlign val="superscript"/>
        <sz val="11"/>
        <color theme="1"/>
        <rFont val="Calibri"/>
        <family val="2"/>
        <charset val="204"/>
        <scheme val="minor"/>
      </rPr>
      <t/>
    </r>
  </si>
  <si>
    <t>Заполнить прогнозный баланс. Основные допущения, использованные при построении прогнозного баланса</t>
  </si>
  <si>
    <t>Текущая деятельность без учета Проекта</t>
  </si>
  <si>
    <t>Выручка (без НДС)</t>
  </si>
  <si>
    <t>Дополнительные параметры для программ "Производительность труда" и "Производительность труда с РФРП"</t>
  </si>
  <si>
    <t>Временные параметры</t>
  </si>
  <si>
    <t>Дата соглашения о сотрудничестве</t>
  </si>
  <si>
    <t>Базовый год</t>
  </si>
  <si>
    <t>базовый год</t>
  </si>
  <si>
    <t>1 год</t>
  </si>
  <si>
    <t>2 год</t>
  </si>
  <si>
    <t>3 год</t>
  </si>
  <si>
    <t>4 год</t>
  </si>
  <si>
    <t>5 год</t>
  </si>
  <si>
    <t>6 год</t>
  </si>
  <si>
    <t>7 год</t>
  </si>
  <si>
    <t>Прирост ПТ к базовому году</t>
  </si>
  <si>
    <t>Прирост ПТ к предшествующему году</t>
  </si>
  <si>
    <t>Расчёт показателей</t>
  </si>
  <si>
    <t>Новая методика</t>
  </si>
  <si>
    <t>Выручка от реализации</t>
  </si>
  <si>
    <t>Прямые расходы</t>
  </si>
  <si>
    <t>Косвенные расходы</t>
  </si>
  <si>
    <t>Расходы на оплату труда</t>
  </si>
  <si>
    <t>Страховые взносы</t>
  </si>
  <si>
    <t>Налог на имущество</t>
  </si>
  <si>
    <t>Амортизация ОС и НМА</t>
  </si>
  <si>
    <t>Добавленная стоимость</t>
  </si>
  <si>
    <t>Численность работников</t>
  </si>
  <si>
    <t>чел.</t>
  </si>
  <si>
    <t>Проверка исполнения целевых показателей</t>
  </si>
  <si>
    <t>Предшествующая методика</t>
  </si>
  <si>
    <t>Налоги, включаемые в себестоимость</t>
  </si>
  <si>
    <t>Количество высокопроизводительных рабочих мест, созданных в ходе реализации проекта</t>
  </si>
  <si>
    <t>Новые высокопроизводительные рабочие места</t>
  </si>
  <si>
    <t>Количество создаваемых рабочих мест</t>
  </si>
  <si>
    <t>ед.</t>
  </si>
  <si>
    <t>-</t>
  </si>
  <si>
    <t>Проекты лесопереработки</t>
  </si>
  <si>
    <r>
      <rPr>
        <b/>
        <sz val="11"/>
        <color theme="1"/>
        <rFont val="Calibri"/>
        <family val="2"/>
        <charset val="204"/>
        <scheme val="minor"/>
      </rPr>
      <t>Целевой объем продаж новой продукции:</t>
    </r>
    <r>
      <rPr>
        <sz val="11"/>
        <color theme="1"/>
        <rFont val="Calibri"/>
        <family val="2"/>
        <scheme val="minor"/>
      </rPr>
      <t xml:space="preserve"> не менее 30% от суммы займа в год, начиная со 2 года серийного производства.
</t>
    </r>
    <r>
      <rPr>
        <b/>
        <sz val="11"/>
        <color theme="1"/>
        <rFont val="Calibri"/>
        <family val="2"/>
        <charset val="204"/>
        <scheme val="minor"/>
      </rPr>
      <t>Софинансирование со стороны заявителя, частных инвесторов или банков:</t>
    </r>
    <r>
      <rPr>
        <sz val="11"/>
        <color theme="1"/>
        <rFont val="Calibri"/>
        <family val="2"/>
        <scheme val="minor"/>
      </rPr>
      <t xml:space="preserve"> ≥ 20% бюджета проекта, в т.ч. за счет собственных средств или средств акционера ≥ 0% от суммы займа.
</t>
    </r>
    <r>
      <rPr>
        <b/>
        <sz val="11"/>
        <color theme="1"/>
        <rFont val="Calibri"/>
        <family val="2"/>
        <charset val="204"/>
        <scheme val="minor"/>
      </rPr>
      <t>Требования к обеспечению:</t>
    </r>
    <r>
      <rPr>
        <sz val="11"/>
        <color theme="1"/>
        <rFont val="Calibri"/>
        <family val="2"/>
        <scheme val="minor"/>
      </rPr>
      <t xml:space="preserve"> банковская гарантия на всю сумму займа и проценты</t>
    </r>
  </si>
  <si>
    <t>Выручка по продукту 1 (Класс А)</t>
  </si>
  <si>
    <t>Цена реализации по продукту 1 (Класс А)</t>
  </si>
  <si>
    <t>Объем реализации по продукту 1 (Класс А)</t>
  </si>
  <si>
    <t>Выручка по продукту 2 (Класс Б)</t>
  </si>
  <si>
    <t>Цена реализации по продукту 2 (Класс Б)</t>
  </si>
  <si>
    <t>Объем реализации по продукту 2 (Класс Б)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</si>
</sst>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\ _₽_-;\-* #,##0.00\ _₽_-;_-* &quot;-&quot;??\ _₽_-;_-@_-"/>
    <numFmt numFmtId="164" formatCode="0.0%"/>
    <numFmt numFmtId="165" formatCode="#,##0.00_ ;[Red]\-#,##0.00\ "/>
    <numFmt numFmtId="166" formatCode="0.0\х"/>
    <numFmt numFmtId="167" formatCode="#,##0_ ;[Red]\-#,##0\ "/>
  </numFmts>
  <fonts count="5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4"/>
      <color rgb="FF092332"/>
      <name val="Brutal Type"/>
    </font>
    <font>
      <sz val="11"/>
      <color rgb="FF092332"/>
      <name val="Calibri"/>
      <family val="2"/>
      <charset val="204"/>
      <scheme val="minor"/>
    </font>
    <font>
      <sz val="10"/>
      <color rgb="FF092332"/>
      <name val="Calibri"/>
      <family val="2"/>
      <charset val="204"/>
      <scheme val="minor"/>
    </font>
    <font>
      <b/>
      <sz val="12"/>
      <color rgb="FF092332"/>
      <name val="Calibri"/>
      <family val="2"/>
      <charset val="204"/>
      <scheme val="minor"/>
    </font>
    <font>
      <b/>
      <sz val="24"/>
      <color theme="1"/>
      <name val="Calibri Light"/>
      <family val="2"/>
      <charset val="204"/>
      <scheme val="major"/>
    </font>
    <font>
      <sz val="14"/>
      <color theme="1"/>
      <name val="Calibri"/>
      <family val="2"/>
      <charset val="204"/>
      <scheme val="minor"/>
    </font>
    <font>
      <b/>
      <sz val="14"/>
      <color rgb="FF092332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  <charset val="204"/>
      <scheme val="minor"/>
    </font>
    <font>
      <b/>
      <sz val="9"/>
      <color theme="0"/>
      <name val="Calibri"/>
      <family val="2"/>
      <charset val="204"/>
      <scheme val="minor"/>
    </font>
    <font>
      <sz val="6"/>
      <color theme="1"/>
      <name val="Calibri"/>
      <family val="2"/>
      <scheme val="minor"/>
    </font>
    <font>
      <b/>
      <sz val="8"/>
      <color theme="0"/>
      <name val="Calibri"/>
      <family val="2"/>
      <charset val="204"/>
      <scheme val="minor"/>
    </font>
    <font>
      <b/>
      <sz val="16"/>
      <color theme="1" tint="0.14999847407452621"/>
      <name val="Calibri Light"/>
      <family val="2"/>
      <charset val="204"/>
      <scheme val="major"/>
    </font>
    <font>
      <b/>
      <sz val="12"/>
      <color theme="1" tint="0.34998626667073579"/>
      <name val="Calibri Light"/>
      <family val="2"/>
      <charset val="204"/>
      <scheme val="major"/>
    </font>
    <font>
      <b/>
      <sz val="10"/>
      <color theme="2" tint="-0.499984740745262"/>
      <name val="Calibri Light"/>
      <family val="2"/>
      <charset val="204"/>
      <scheme val="major"/>
    </font>
    <font>
      <b/>
      <sz val="11"/>
      <color rgb="FFFF0000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4"/>
      <color theme="1"/>
      <name val="Wingdings 2"/>
      <family val="1"/>
      <charset val="2"/>
    </font>
    <font>
      <vertAlign val="superscript"/>
      <sz val="11"/>
      <color theme="1"/>
      <name val="Calibri"/>
      <family val="2"/>
      <charset val="204"/>
      <scheme val="minor"/>
    </font>
    <font>
      <sz val="8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vertAlign val="superscript"/>
      <sz val="16"/>
      <color theme="1" tint="0.14996795556505021"/>
      <name val="Calibri Light"/>
      <family val="2"/>
      <charset val="204"/>
      <scheme val="major"/>
    </font>
    <font>
      <sz val="11"/>
      <color theme="0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16"/>
      <color theme="1"/>
      <name val="Calibri Light"/>
      <family val="2"/>
      <charset val="204"/>
      <scheme val="major"/>
    </font>
    <font>
      <sz val="11"/>
      <color rgb="FFFF0000"/>
      <name val="Calibri"/>
      <family val="2"/>
    </font>
    <font>
      <sz val="9.35"/>
      <color rgb="FFFF0000"/>
      <name val="Calibri"/>
      <family val="2"/>
      <charset val="204"/>
    </font>
  </fonts>
  <fills count="11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A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E4D6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rgb="FFFCE4D6"/>
        <bgColor indexed="64"/>
      </patternFill>
    </fill>
    <fill>
      <patternFill patternType="lightGray">
        <bgColor theme="0"/>
      </patternFill>
    </fill>
  </fills>
  <borders count="44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1" tint="0.499984740745262"/>
      </left>
      <right style="thin">
        <color theme="0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0"/>
      </left>
      <right style="thin">
        <color theme="0"/>
      </right>
      <top/>
      <bottom style="thin">
        <color theme="1" tint="0.499984740745262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1" tint="0.499984740745262"/>
      </left>
      <right/>
      <top style="thin">
        <color theme="0"/>
      </top>
      <bottom style="thin">
        <color theme="1" tint="0.499984740745262"/>
      </bottom>
      <diagonal/>
    </border>
    <border>
      <left/>
      <right/>
      <top style="thin">
        <color theme="0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0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/>
      <top style="thin">
        <color theme="1" tint="0.499984740745262"/>
      </top>
      <bottom/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/>
      <right/>
      <top/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/>
      <diagonal/>
    </border>
    <border>
      <left/>
      <right/>
      <top style="thin">
        <color theme="0" tint="-0.14999847407452621"/>
      </top>
      <bottom/>
      <diagonal/>
    </border>
    <border>
      <left/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/>
      <top/>
      <bottom/>
      <diagonal/>
    </border>
    <border>
      <left/>
      <right style="thin">
        <color theme="0" tint="-0.14999847407452621"/>
      </right>
      <top/>
      <bottom/>
      <diagonal/>
    </border>
    <border>
      <left style="thin">
        <color theme="0" tint="-0.14999847407452621"/>
      </left>
      <right/>
      <top/>
      <bottom style="thin">
        <color theme="0" tint="-0.14999847407452621"/>
      </bottom>
      <diagonal/>
    </border>
    <border>
      <left/>
      <right style="thin">
        <color theme="0" tint="-0.14999847407452621"/>
      </right>
      <top/>
      <bottom style="thin">
        <color theme="0" tint="-0.14999847407452621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3">
    <xf numFmtId="0" fontId="0" fillId="0" borderId="0"/>
    <xf numFmtId="0" fontId="38" fillId="0" borderId="0" applyNumberFormat="0" applyFill="0" applyBorder="0" applyAlignment="0" applyProtection="0"/>
    <xf numFmtId="43" fontId="44" fillId="0" borderId="0" applyFont="0" applyFill="0" applyBorder="0" applyAlignment="0" applyProtection="0"/>
  </cellStyleXfs>
  <cellXfs count="317">
    <xf numFmtId="0" fontId="0" fillId="0" borderId="0" xfId="0"/>
    <xf numFmtId="0" fontId="22" fillId="0" borderId="0" xfId="0" applyFont="1" applyAlignment="1">
      <alignment vertical="center" wrapText="1"/>
    </xf>
    <xf numFmtId="0" fontId="24" fillId="0" borderId="0" xfId="0" applyFont="1" applyAlignment="1">
      <alignment vertical="center" wrapText="1"/>
    </xf>
    <xf numFmtId="0" fontId="25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0" fillId="0" borderId="0" xfId="0" applyAlignment="1">
      <alignment vertical="top" wrapText="1"/>
    </xf>
    <xf numFmtId="0" fontId="21" fillId="0" borderId="0" xfId="0" applyFont="1" applyAlignment="1"/>
    <xf numFmtId="0" fontId="26" fillId="0" borderId="0" xfId="0" applyFont="1" applyAlignment="1"/>
    <xf numFmtId="164" fontId="0" fillId="3" borderId="2" xfId="0" applyNumberFormat="1" applyFill="1" applyBorder="1" applyAlignment="1">
      <alignment horizontal="center" vertical="top" wrapText="1"/>
    </xf>
    <xf numFmtId="0" fontId="35" fillId="0" borderId="0" xfId="0" applyFont="1" applyAlignment="1">
      <alignment vertical="top"/>
    </xf>
    <xf numFmtId="0" fontId="0" fillId="2" borderId="1" xfId="0" applyFill="1" applyBorder="1" applyAlignment="1">
      <alignment horizontal="center" vertical="top" wrapText="1"/>
    </xf>
    <xf numFmtId="14" fontId="21" fillId="0" borderId="0" xfId="0" applyNumberFormat="1" applyFont="1" applyAlignment="1"/>
    <xf numFmtId="0" fontId="0" fillId="0" borderId="0" xfId="0" applyBorder="1"/>
    <xf numFmtId="0" fontId="0" fillId="0" borderId="31" xfId="0" applyBorder="1"/>
    <xf numFmtId="0" fontId="0" fillId="6" borderId="32" xfId="0" applyFill="1" applyBorder="1"/>
    <xf numFmtId="0" fontId="0" fillId="6" borderId="33" xfId="0" applyFill="1" applyBorder="1"/>
    <xf numFmtId="0" fontId="0" fillId="6" borderId="34" xfId="0" applyFill="1" applyBorder="1"/>
    <xf numFmtId="0" fontId="0" fillId="6" borderId="37" xfId="0" applyFill="1" applyBorder="1"/>
    <xf numFmtId="0" fontId="0" fillId="6" borderId="31" xfId="0" applyFill="1" applyBorder="1"/>
    <xf numFmtId="0" fontId="0" fillId="6" borderId="38" xfId="0" applyFill="1" applyBorder="1"/>
    <xf numFmtId="0" fontId="32" fillId="0" borderId="0" xfId="0" applyFont="1" applyAlignment="1">
      <alignment horizontal="left"/>
    </xf>
    <xf numFmtId="0" fontId="0" fillId="0" borderId="2" xfId="0" applyBorder="1" applyAlignment="1">
      <alignment horizontal="center" vertical="top" wrapText="1"/>
    </xf>
    <xf numFmtId="4" fontId="0" fillId="2" borderId="1" xfId="0" applyNumberForma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 applyProtection="1">
      <alignment horizontal="center" vertical="top" wrapText="1"/>
      <protection locked="0"/>
    </xf>
    <xf numFmtId="14" fontId="0" fillId="2" borderId="1" xfId="0" applyNumberFormat="1" applyFill="1" applyBorder="1" applyAlignment="1" applyProtection="1">
      <alignment horizontal="center" vertical="top" wrapText="1"/>
      <protection locked="0"/>
    </xf>
    <xf numFmtId="0" fontId="0" fillId="0" borderId="0" xfId="0" applyProtection="1"/>
    <xf numFmtId="0" fontId="34" fillId="0" borderId="0" xfId="0" applyFont="1" applyAlignment="1" applyProtection="1">
      <alignment vertical="top"/>
    </xf>
    <xf numFmtId="0" fontId="0" fillId="0" borderId="0" xfId="0" applyAlignment="1" applyProtection="1">
      <alignment vertical="top" wrapText="1"/>
    </xf>
    <xf numFmtId="165" fontId="0" fillId="2" borderId="1" xfId="0" applyNumberFormat="1" applyFill="1" applyBorder="1" applyAlignment="1" applyProtection="1">
      <alignment horizontal="center" vertical="top" wrapText="1"/>
      <protection locked="0"/>
    </xf>
    <xf numFmtId="0" fontId="43" fillId="0" borderId="0" xfId="0" applyFont="1" applyAlignment="1">
      <alignment horizontal="right"/>
    </xf>
    <xf numFmtId="0" fontId="0" fillId="2" borderId="1" xfId="0" applyFont="1" applyFill="1" applyBorder="1" applyAlignment="1" applyProtection="1">
      <alignment horizontal="center" vertical="center"/>
      <protection locked="0"/>
    </xf>
    <xf numFmtId="0" fontId="0" fillId="5" borderId="2" xfId="0" applyFill="1" applyBorder="1" applyAlignment="1" applyProtection="1">
      <alignment horizontal="left" vertical="center" wrapText="1"/>
      <protection hidden="1"/>
    </xf>
    <xf numFmtId="0" fontId="41" fillId="5" borderId="1" xfId="0" applyFont="1" applyFill="1" applyBorder="1" applyAlignment="1" applyProtection="1">
      <alignment horizontal="center" vertical="center" wrapText="1"/>
      <protection hidden="1"/>
    </xf>
    <xf numFmtId="0" fontId="0" fillId="5" borderId="2" xfId="0" applyFill="1" applyBorder="1" applyAlignment="1" applyProtection="1">
      <alignment vertical="center" wrapText="1"/>
      <protection hidden="1"/>
    </xf>
    <xf numFmtId="0" fontId="0" fillId="2" borderId="1" xfId="0" applyNumberFormat="1" applyFill="1" applyBorder="1" applyAlignment="1" applyProtection="1">
      <alignment horizontal="center" vertical="center" wrapText="1"/>
      <protection locked="0"/>
    </xf>
    <xf numFmtId="4" fontId="0" fillId="5" borderId="1" xfId="0" applyNumberFormat="1" applyFill="1" applyBorder="1" applyAlignment="1" applyProtection="1">
      <alignment horizontal="center" vertical="center" wrapText="1"/>
      <protection hidden="1"/>
    </xf>
    <xf numFmtId="4" fontId="0" fillId="3" borderId="2" xfId="0" applyNumberFormat="1" applyFill="1" applyBorder="1" applyAlignment="1" applyProtection="1">
      <alignment horizontal="center" vertical="top" wrapText="1"/>
      <protection hidden="1"/>
    </xf>
    <xf numFmtId="4" fontId="0" fillId="3" borderId="1" xfId="0" applyNumberFormat="1" applyFill="1" applyBorder="1" applyAlignment="1" applyProtection="1">
      <alignment horizontal="center" vertical="top" wrapText="1"/>
      <protection hidden="1"/>
    </xf>
    <xf numFmtId="165" fontId="0" fillId="2" borderId="2" xfId="0" applyNumberFormat="1" applyFill="1" applyBorder="1" applyAlignment="1" applyProtection="1">
      <alignment horizontal="center" vertical="center" wrapText="1"/>
      <protection locked="0"/>
    </xf>
    <xf numFmtId="0" fontId="36" fillId="0" borderId="0" xfId="0" applyFont="1" applyAlignment="1" applyProtection="1">
      <alignment vertical="top"/>
      <protection hidden="1"/>
    </xf>
    <xf numFmtId="4" fontId="0" fillId="5" borderId="2" xfId="0" applyNumberFormat="1" applyFill="1" applyBorder="1" applyAlignment="1" applyProtection="1">
      <alignment horizontal="center" vertical="center" wrapText="1"/>
      <protection hidden="1"/>
    </xf>
    <xf numFmtId="164" fontId="0" fillId="5" borderId="2" xfId="0" applyNumberFormat="1" applyFill="1" applyBorder="1" applyAlignment="1" applyProtection="1">
      <alignment horizontal="center" vertical="center" wrapText="1"/>
      <protection hidden="1"/>
    </xf>
    <xf numFmtId="0" fontId="0" fillId="5" borderId="1" xfId="0" applyFill="1" applyBorder="1" applyAlignment="1" applyProtection="1">
      <alignment horizontal="left" vertical="center" wrapText="1"/>
      <protection hidden="1"/>
    </xf>
    <xf numFmtId="14" fontId="0" fillId="0" borderId="1" xfId="0" applyNumberFormat="1" applyBorder="1" applyAlignment="1" applyProtection="1">
      <alignment horizontal="center" vertical="center" wrapText="1"/>
      <protection hidden="1"/>
    </xf>
    <xf numFmtId="0" fontId="0" fillId="0" borderId="1" xfId="0" applyNumberFormat="1" applyBorder="1" applyAlignment="1" applyProtection="1">
      <alignment horizontal="center" vertical="center" wrapText="1"/>
      <protection hidden="1"/>
    </xf>
    <xf numFmtId="4" fontId="0" fillId="3" borderId="2" xfId="0" applyNumberFormat="1" applyFill="1" applyBorder="1" applyAlignment="1" applyProtection="1">
      <alignment horizontal="center" vertical="center" wrapText="1"/>
      <protection hidden="1"/>
    </xf>
    <xf numFmtId="14" fontId="0" fillId="3" borderId="1" xfId="0" applyNumberFormat="1" applyFill="1" applyBorder="1" applyAlignment="1" applyProtection="1">
      <alignment horizontal="center" vertical="top" wrapText="1"/>
      <protection hidden="1"/>
    </xf>
    <xf numFmtId="14" fontId="0" fillId="3" borderId="2" xfId="0" applyNumberFormat="1" applyFill="1" applyBorder="1" applyAlignment="1" applyProtection="1">
      <alignment horizontal="center" vertical="top" wrapText="1"/>
      <protection hidden="1"/>
    </xf>
    <xf numFmtId="0" fontId="37" fillId="0" borderId="0" xfId="0" applyFont="1" applyProtection="1">
      <protection hidden="1"/>
    </xf>
    <xf numFmtId="0" fontId="37" fillId="0" borderId="0" xfId="0" applyFont="1" applyAlignment="1" applyProtection="1">
      <alignment wrapText="1"/>
      <protection hidden="1"/>
    </xf>
    <xf numFmtId="0" fontId="20" fillId="4" borderId="5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0" xfId="0" applyProtection="1">
      <protection hidden="1"/>
    </xf>
    <xf numFmtId="0" fontId="34" fillId="0" borderId="0" xfId="0" applyFont="1" applyAlignment="1" applyProtection="1">
      <alignment vertical="top"/>
      <protection hidden="1"/>
    </xf>
    <xf numFmtId="0" fontId="0" fillId="0" borderId="0" xfId="0" applyAlignment="1" applyProtection="1">
      <alignment vertical="top" wrapText="1"/>
      <protection hidden="1"/>
    </xf>
    <xf numFmtId="0" fontId="0" fillId="5" borderId="2" xfId="0" applyFill="1" applyBorder="1" applyAlignment="1" applyProtection="1">
      <alignment horizontal="left" wrapText="1"/>
      <protection hidden="1"/>
    </xf>
    <xf numFmtId="0" fontId="0" fillId="5" borderId="1" xfId="0" applyFill="1" applyBorder="1" applyAlignment="1" applyProtection="1">
      <alignment horizontal="left" wrapText="1"/>
      <protection hidden="1"/>
    </xf>
    <xf numFmtId="0" fontId="26" fillId="0" borderId="0" xfId="0" applyFont="1" applyAlignment="1" applyProtection="1">
      <protection hidden="1"/>
    </xf>
    <xf numFmtId="3" fontId="0" fillId="5" borderId="2" xfId="0" applyNumberFormat="1" applyFill="1" applyBorder="1" applyAlignment="1" applyProtection="1">
      <alignment horizontal="center" vertical="center" wrapText="1"/>
      <protection hidden="1"/>
    </xf>
    <xf numFmtId="0" fontId="29" fillId="0" borderId="0" xfId="0" applyFont="1" applyAlignment="1" applyProtection="1">
      <alignment vertical="top" wrapText="1"/>
      <protection hidden="1"/>
    </xf>
    <xf numFmtId="0" fontId="21" fillId="0" borderId="0" xfId="0" applyFont="1" applyAlignment="1">
      <alignment horizontal="right"/>
    </xf>
    <xf numFmtId="0" fontId="21" fillId="0" borderId="0" xfId="0" applyFont="1" applyAlignment="1" applyProtection="1">
      <alignment horizontal="right"/>
      <protection hidden="1"/>
    </xf>
    <xf numFmtId="0" fontId="0" fillId="5" borderId="2" xfId="0" applyFill="1" applyBorder="1" applyAlignment="1" applyProtection="1">
      <alignment horizontal="left" vertical="center" wrapText="1"/>
      <protection hidden="1"/>
    </xf>
    <xf numFmtId="164" fontId="0" fillId="5" borderId="2" xfId="0" applyNumberFormat="1" applyFill="1" applyBorder="1" applyAlignment="1" applyProtection="1">
      <alignment horizontal="center" vertical="center" wrapText="1"/>
      <protection hidden="1"/>
    </xf>
    <xf numFmtId="164" fontId="0" fillId="5" borderId="2" xfId="0" applyNumberFormat="1" applyFill="1" applyBorder="1" applyAlignment="1" applyProtection="1">
      <alignment horizontal="center" vertical="center" wrapText="1"/>
      <protection hidden="1"/>
    </xf>
    <xf numFmtId="0" fontId="0" fillId="5" borderId="2" xfId="0" applyFill="1" applyBorder="1" applyAlignment="1" applyProtection="1">
      <alignment horizontal="left" vertical="center" wrapText="1"/>
      <protection hidden="1"/>
    </xf>
    <xf numFmtId="0" fontId="0" fillId="5" borderId="30" xfId="0" applyFill="1" applyBorder="1" applyAlignment="1" applyProtection="1">
      <alignment horizontal="left" vertical="center" wrapText="1"/>
      <protection hidden="1"/>
    </xf>
    <xf numFmtId="0" fontId="20" fillId="4" borderId="5" xfId="0" applyFont="1" applyFill="1" applyBorder="1" applyAlignment="1" applyProtection="1">
      <alignment horizontal="center" vertical="center" wrapText="1"/>
      <protection hidden="1"/>
    </xf>
    <xf numFmtId="0" fontId="0" fillId="0" borderId="21" xfId="0" applyBorder="1" applyProtection="1">
      <protection hidden="1"/>
    </xf>
    <xf numFmtId="0" fontId="0" fillId="0" borderId="0" xfId="0" applyBorder="1" applyProtection="1">
      <protection hidden="1"/>
    </xf>
    <xf numFmtId="0" fontId="0" fillId="0" borderId="10" xfId="0" applyBorder="1" applyProtection="1">
      <protection hidden="1"/>
    </xf>
    <xf numFmtId="0" fontId="36" fillId="0" borderId="21" xfId="0" applyFont="1" applyBorder="1" applyAlignment="1" applyProtection="1">
      <alignment vertical="top"/>
      <protection hidden="1"/>
    </xf>
    <xf numFmtId="0" fontId="0" fillId="5" borderId="1" xfId="0" applyFill="1" applyBorder="1" applyAlignment="1" applyProtection="1">
      <alignment vertical="top" wrapText="1"/>
    </xf>
    <xf numFmtId="0" fontId="35" fillId="0" borderId="0" xfId="0" applyFont="1" applyAlignment="1" applyProtection="1">
      <alignment vertical="top"/>
    </xf>
    <xf numFmtId="0" fontId="36" fillId="0" borderId="0" xfId="0" applyFont="1" applyAlignment="1" applyProtection="1">
      <alignment vertical="top"/>
    </xf>
    <xf numFmtId="0" fontId="0" fillId="0" borderId="8" xfId="0" applyBorder="1" applyAlignment="1" applyProtection="1">
      <alignment vertical="top" wrapText="1"/>
    </xf>
    <xf numFmtId="0" fontId="0" fillId="5" borderId="2" xfId="0" applyFill="1" applyBorder="1" applyAlignment="1" applyProtection="1">
      <alignment horizontal="center" vertical="center"/>
    </xf>
    <xf numFmtId="0" fontId="0" fillId="5" borderId="2" xfId="0" applyFill="1" applyBorder="1" applyAlignment="1" applyProtection="1">
      <alignment vertical="center"/>
    </xf>
    <xf numFmtId="165" fontId="17" fillId="3" borderId="2" xfId="0" applyNumberFormat="1" applyFont="1" applyFill="1" applyBorder="1" applyAlignment="1" applyProtection="1">
      <alignment horizontal="center" vertical="center"/>
    </xf>
    <xf numFmtId="165" fontId="0" fillId="5" borderId="2" xfId="0" applyNumberFormat="1" applyFill="1" applyBorder="1" applyAlignment="1" applyProtection="1">
      <alignment horizontal="center" vertical="center"/>
    </xf>
    <xf numFmtId="0" fontId="0" fillId="5" borderId="1" xfId="0" applyFill="1" applyBorder="1" applyAlignment="1" applyProtection="1">
      <alignment vertical="center"/>
    </xf>
    <xf numFmtId="165" fontId="17" fillId="3" borderId="1" xfId="0" applyNumberFormat="1" applyFont="1" applyFill="1" applyBorder="1" applyAlignment="1" applyProtection="1">
      <alignment horizontal="center" vertical="center"/>
    </xf>
    <xf numFmtId="165" fontId="0" fillId="5" borderId="1" xfId="0" applyNumberFormat="1" applyFill="1" applyBorder="1" applyAlignment="1" applyProtection="1">
      <alignment horizontal="center" vertical="center"/>
    </xf>
    <xf numFmtId="0" fontId="40" fillId="5" borderId="1" xfId="0" applyFont="1" applyFill="1" applyBorder="1" applyAlignment="1" applyProtection="1">
      <alignment vertical="center"/>
    </xf>
    <xf numFmtId="164" fontId="40" fillId="5" borderId="1" xfId="0" applyNumberFormat="1" applyFont="1" applyFill="1" applyBorder="1" applyAlignment="1" applyProtection="1">
      <alignment horizontal="center" vertical="center"/>
    </xf>
    <xf numFmtId="0" fontId="0" fillId="5" borderId="1" xfId="0" applyFill="1" applyBorder="1" applyAlignment="1" applyProtection="1">
      <alignment horizontal="center" vertical="center"/>
    </xf>
    <xf numFmtId="0" fontId="0" fillId="7" borderId="1" xfId="0" applyFill="1" applyBorder="1" applyAlignment="1" applyProtection="1">
      <alignment vertical="center"/>
    </xf>
    <xf numFmtId="0" fontId="0" fillId="7" borderId="1" xfId="0" applyFill="1" applyBorder="1" applyAlignment="1" applyProtection="1">
      <alignment horizontal="center" vertical="center"/>
    </xf>
    <xf numFmtId="165" fontId="13" fillId="7" borderId="1" xfId="0" applyNumberFormat="1" applyFont="1" applyFill="1" applyBorder="1" applyAlignment="1" applyProtection="1">
      <alignment horizontal="center" vertical="center"/>
    </xf>
    <xf numFmtId="0" fontId="21" fillId="7" borderId="1" xfId="0" applyFont="1" applyFill="1" applyBorder="1" applyAlignment="1" applyProtection="1">
      <alignment vertical="center"/>
    </xf>
    <xf numFmtId="0" fontId="21" fillId="7" borderId="1" xfId="0" applyFont="1" applyFill="1" applyBorder="1" applyAlignment="1" applyProtection="1">
      <alignment horizontal="center" vertical="center"/>
    </xf>
    <xf numFmtId="4" fontId="21" fillId="7" borderId="1" xfId="0" applyNumberFormat="1" applyFont="1" applyFill="1" applyBorder="1" applyAlignment="1" applyProtection="1">
      <alignment horizontal="center" vertical="center"/>
    </xf>
    <xf numFmtId="0" fontId="0" fillId="5" borderId="2" xfId="0" applyNumberFormat="1" applyFill="1" applyBorder="1" applyAlignment="1" applyProtection="1">
      <alignment horizontal="center" vertical="center"/>
    </xf>
    <xf numFmtId="0" fontId="40" fillId="5" borderId="1" xfId="0" applyFont="1" applyFill="1" applyBorder="1" applyAlignment="1" applyProtection="1">
      <alignment horizontal="center" vertical="center"/>
    </xf>
    <xf numFmtId="0" fontId="0" fillId="7" borderId="1" xfId="0" applyNumberFormat="1" applyFill="1" applyBorder="1" applyAlignment="1" applyProtection="1">
      <alignment horizontal="center" vertical="center"/>
    </xf>
    <xf numFmtId="0" fontId="0" fillId="5" borderId="1" xfId="0" applyNumberFormat="1" applyFill="1" applyBorder="1" applyAlignment="1" applyProtection="1">
      <alignment horizontal="center" vertical="center"/>
    </xf>
    <xf numFmtId="4" fontId="13" fillId="7" borderId="1" xfId="0" applyNumberFormat="1" applyFont="1" applyFill="1" applyBorder="1" applyAlignment="1" applyProtection="1">
      <alignment horizontal="center" vertical="center"/>
    </xf>
    <xf numFmtId="0" fontId="21" fillId="7" borderId="1" xfId="0" applyNumberFormat="1" applyFont="1" applyFill="1" applyBorder="1" applyAlignment="1" applyProtection="1">
      <alignment horizontal="center" vertical="center"/>
    </xf>
    <xf numFmtId="0" fontId="0" fillId="5" borderId="2" xfId="0" applyFill="1" applyBorder="1" applyAlignment="1" applyProtection="1"/>
    <xf numFmtId="0" fontId="0" fillId="5" borderId="2" xfId="0" applyNumberFormat="1" applyFill="1" applyBorder="1" applyAlignment="1" applyProtection="1">
      <alignment horizontal="center" vertical="center" wrapText="1"/>
    </xf>
    <xf numFmtId="0" fontId="0" fillId="5" borderId="1" xfId="0" applyFill="1" applyBorder="1" applyAlignment="1" applyProtection="1"/>
    <xf numFmtId="0" fontId="0" fillId="5" borderId="1" xfId="0" applyNumberFormat="1" applyFill="1" applyBorder="1" applyAlignment="1" applyProtection="1">
      <alignment horizontal="center" vertical="center" wrapText="1"/>
    </xf>
    <xf numFmtId="166" fontId="0" fillId="5" borderId="1" xfId="0" applyNumberFormat="1" applyFill="1" applyBorder="1" applyAlignment="1" applyProtection="1">
      <alignment horizontal="center" vertical="top"/>
    </xf>
    <xf numFmtId="0" fontId="0" fillId="2" borderId="1" xfId="0" applyNumberFormat="1" applyFill="1" applyBorder="1" applyAlignment="1" applyProtection="1">
      <alignment horizontal="left" vertical="top" wrapText="1" indent="2"/>
      <protection locked="0"/>
    </xf>
    <xf numFmtId="14" fontId="46" fillId="4" borderId="5" xfId="0" applyNumberFormat="1" applyFont="1" applyFill="1" applyBorder="1" applyAlignment="1" applyProtection="1">
      <alignment horizontal="center" vertical="center" wrapText="1"/>
      <protection hidden="1"/>
    </xf>
    <xf numFmtId="0" fontId="20" fillId="8" borderId="5" xfId="0" applyNumberFormat="1" applyFont="1" applyFill="1" applyBorder="1" applyAlignment="1" applyProtection="1">
      <alignment horizontal="center" vertical="center" wrapText="1"/>
      <protection hidden="1"/>
    </xf>
    <xf numFmtId="14" fontId="46" fillId="8" borderId="5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0" xfId="0" applyAlignment="1" applyProtection="1">
      <alignment horizontal="left" indent="1"/>
      <protection hidden="1"/>
    </xf>
    <xf numFmtId="0" fontId="20" fillId="4" borderId="12" xfId="0" applyNumberFormat="1" applyFont="1" applyFill="1" applyBorder="1" applyAlignment="1" applyProtection="1">
      <alignment horizontal="center" vertical="center"/>
    </xf>
    <xf numFmtId="0" fontId="30" fillId="4" borderId="12" xfId="0" applyNumberFormat="1" applyFont="1" applyFill="1" applyBorder="1" applyAlignment="1" applyProtection="1">
      <alignment horizontal="center" vertical="center"/>
    </xf>
    <xf numFmtId="0" fontId="31" fillId="4" borderId="12" xfId="0" applyNumberFormat="1" applyFont="1" applyFill="1" applyBorder="1" applyAlignment="1" applyProtection="1">
      <alignment horizontal="center" vertical="center"/>
    </xf>
    <xf numFmtId="0" fontId="20" fillId="4" borderId="12" xfId="0" applyNumberFormat="1" applyFont="1" applyFill="1" applyBorder="1" applyAlignment="1" applyProtection="1">
      <alignment horizontal="center" vertical="center" wrapText="1"/>
    </xf>
    <xf numFmtId="0" fontId="31" fillId="4" borderId="12" xfId="0" applyNumberFormat="1" applyFont="1" applyFill="1" applyBorder="1" applyAlignment="1" applyProtection="1">
      <alignment horizontal="center" vertical="center" wrapText="1"/>
    </xf>
    <xf numFmtId="0" fontId="0" fillId="5" borderId="1" xfId="0" applyFont="1" applyFill="1" applyBorder="1" applyAlignment="1" applyProtection="1">
      <alignment vertical="center"/>
    </xf>
    <xf numFmtId="0" fontId="0" fillId="0" borderId="4" xfId="0" applyBorder="1" applyAlignment="1">
      <alignment vertical="center"/>
    </xf>
    <xf numFmtId="0" fontId="0" fillId="0" borderId="4" xfId="0" applyBorder="1" applyAlignment="1" applyProtection="1">
      <alignment vertical="center"/>
      <protection hidden="1"/>
    </xf>
    <xf numFmtId="0" fontId="20" fillId="4" borderId="42" xfId="0" applyFont="1" applyFill="1" applyBorder="1" applyAlignment="1">
      <alignment horizontal="center" vertical="center" wrapText="1"/>
    </xf>
    <xf numFmtId="0" fontId="20" fillId="4" borderId="5" xfId="0" applyFont="1" applyFill="1" applyBorder="1" applyAlignment="1" applyProtection="1">
      <alignment horizontal="center" vertical="center" wrapText="1"/>
      <protection hidden="1"/>
    </xf>
    <xf numFmtId="0" fontId="21" fillId="0" borderId="0" xfId="0" applyFont="1" applyAlignment="1" applyProtection="1">
      <protection hidden="1"/>
    </xf>
    <xf numFmtId="14" fontId="21" fillId="0" borderId="0" xfId="0" applyNumberFormat="1" applyFont="1" applyAlignment="1" applyProtection="1">
      <protection hidden="1"/>
    </xf>
    <xf numFmtId="0" fontId="20" fillId="4" borderId="40" xfId="0" applyFont="1" applyFill="1" applyBorder="1" applyAlignment="1" applyProtection="1">
      <alignment vertical="center" wrapText="1"/>
      <protection hidden="1"/>
    </xf>
    <xf numFmtId="0" fontId="20" fillId="4" borderId="43" xfId="0" applyFont="1" applyFill="1" applyBorder="1" applyAlignment="1" applyProtection="1">
      <alignment vertical="center" wrapText="1"/>
      <protection hidden="1"/>
    </xf>
    <xf numFmtId="0" fontId="0" fillId="0" borderId="1" xfId="0" applyBorder="1" applyAlignment="1" applyProtection="1">
      <alignment vertical="center" wrapText="1"/>
      <protection hidden="1"/>
    </xf>
    <xf numFmtId="0" fontId="0" fillId="0" borderId="1" xfId="0" applyBorder="1" applyAlignment="1" applyProtection="1">
      <alignment vertical="top"/>
      <protection hidden="1"/>
    </xf>
    <xf numFmtId="0" fontId="0" fillId="0" borderId="1" xfId="0" applyBorder="1" applyAlignment="1" applyProtection="1">
      <alignment horizontal="center" vertical="top" wrapText="1"/>
      <protection hidden="1"/>
    </xf>
    <xf numFmtId="0" fontId="0" fillId="0" borderId="1" xfId="0" applyBorder="1" applyAlignment="1" applyProtection="1">
      <alignment vertical="top" wrapText="1"/>
      <protection hidden="1"/>
    </xf>
    <xf numFmtId="14" fontId="0" fillId="5" borderId="1" xfId="0" applyNumberFormat="1" applyFill="1" applyBorder="1" applyAlignment="1" applyProtection="1">
      <alignment horizontal="center" vertical="top"/>
      <protection hidden="1"/>
    </xf>
    <xf numFmtId="0" fontId="0" fillId="5" borderId="1" xfId="0" applyFill="1" applyBorder="1" applyAlignment="1" applyProtection="1">
      <alignment horizontal="center" vertical="top"/>
      <protection hidden="1"/>
    </xf>
    <xf numFmtId="14" fontId="0" fillId="0" borderId="1" xfId="0" applyNumberFormat="1" applyBorder="1" applyAlignment="1" applyProtection="1">
      <alignment horizontal="center" vertical="top" wrapText="1"/>
      <protection hidden="1"/>
    </xf>
    <xf numFmtId="0" fontId="0" fillId="0" borderId="15" xfId="0" applyBorder="1" applyAlignment="1" applyProtection="1">
      <alignment vertical="center" wrapText="1"/>
      <protection hidden="1"/>
    </xf>
    <xf numFmtId="0" fontId="0" fillId="0" borderId="4" xfId="0" applyBorder="1" applyAlignment="1" applyProtection="1">
      <alignment vertical="top"/>
      <protection hidden="1"/>
    </xf>
    <xf numFmtId="14" fontId="0" fillId="0" borderId="4" xfId="0" applyNumberFormat="1" applyBorder="1" applyAlignment="1" applyProtection="1">
      <alignment horizontal="center" vertical="top" wrapText="1"/>
      <protection hidden="1"/>
    </xf>
    <xf numFmtId="0" fontId="0" fillId="0" borderId="1" xfId="0" applyNumberFormat="1" applyBorder="1" applyAlignment="1" applyProtection="1">
      <alignment horizontal="left" vertical="center" wrapText="1"/>
      <protection hidden="1"/>
    </xf>
    <xf numFmtId="0" fontId="0" fillId="0" borderId="42" xfId="0" applyBorder="1" applyAlignment="1" applyProtection="1">
      <alignment vertical="top"/>
      <protection hidden="1"/>
    </xf>
    <xf numFmtId="0" fontId="0" fillId="0" borderId="4" xfId="0" applyBorder="1" applyAlignment="1" applyProtection="1">
      <alignment horizontal="center" vertical="top" wrapText="1"/>
      <protection hidden="1"/>
    </xf>
    <xf numFmtId="0" fontId="12" fillId="5" borderId="1" xfId="0" applyFont="1" applyFill="1" applyBorder="1" applyAlignment="1" applyProtection="1">
      <alignment horizontal="left" vertical="center"/>
      <protection hidden="1"/>
    </xf>
    <xf numFmtId="0" fontId="0" fillId="0" borderId="15" xfId="0" applyBorder="1" applyAlignment="1" applyProtection="1">
      <alignment vertical="center"/>
      <protection hidden="1"/>
    </xf>
    <xf numFmtId="0" fontId="9" fillId="5" borderId="1" xfId="0" applyFont="1" applyFill="1" applyBorder="1" applyAlignment="1" applyProtection="1">
      <alignment horizontal="left" vertical="center"/>
      <protection hidden="1"/>
    </xf>
    <xf numFmtId="0" fontId="0" fillId="0" borderId="0" xfId="0" applyBorder="1" applyAlignment="1" applyProtection="1">
      <alignment vertical="center"/>
      <protection hidden="1"/>
    </xf>
    <xf numFmtId="0" fontId="0" fillId="0" borderId="0" xfId="0" applyFill="1" applyBorder="1" applyAlignment="1" applyProtection="1">
      <alignment vertical="top"/>
      <protection hidden="1"/>
    </xf>
    <xf numFmtId="0" fontId="29" fillId="0" borderId="0" xfId="0" applyFont="1" applyProtection="1">
      <protection hidden="1"/>
    </xf>
    <xf numFmtId="4" fontId="0" fillId="0" borderId="0" xfId="0" applyNumberFormat="1" applyProtection="1">
      <protection hidden="1"/>
    </xf>
    <xf numFmtId="0" fontId="0" fillId="0" borderId="0" xfId="0" applyAlignment="1" applyProtection="1">
      <alignment horizontal="center" vertical="center" wrapText="1"/>
      <protection hidden="1"/>
    </xf>
    <xf numFmtId="0" fontId="0" fillId="0" borderId="28" xfId="0" applyBorder="1" applyAlignment="1" applyProtection="1">
      <alignment horizontal="left" vertical="top" wrapText="1"/>
      <protection hidden="1"/>
    </xf>
    <xf numFmtId="0" fontId="0" fillId="5" borderId="2" xfId="0" applyFill="1" applyBorder="1" applyAlignment="1" applyProtection="1">
      <alignment horizontal="center" wrapText="1"/>
      <protection hidden="1"/>
    </xf>
    <xf numFmtId="0" fontId="0" fillId="5" borderId="28" xfId="0" applyFill="1" applyBorder="1" applyAlignment="1" applyProtection="1">
      <alignment horizontal="left" vertical="center" wrapText="1"/>
      <protection hidden="1"/>
    </xf>
    <xf numFmtId="0" fontId="0" fillId="0" borderId="4" xfId="0" applyBorder="1" applyAlignment="1" applyProtection="1">
      <alignment horizontal="left" vertical="top" wrapText="1"/>
      <protection hidden="1"/>
    </xf>
    <xf numFmtId="0" fontId="0" fillId="5" borderId="1" xfId="0" applyFill="1" applyBorder="1" applyAlignment="1" applyProtection="1">
      <alignment horizontal="center" wrapText="1"/>
      <protection hidden="1"/>
    </xf>
    <xf numFmtId="0" fontId="0" fillId="0" borderId="1" xfId="0" applyBorder="1" applyAlignment="1" applyProtection="1">
      <alignment horizontal="left" vertical="top" wrapText="1"/>
      <protection hidden="1"/>
    </xf>
    <xf numFmtId="0" fontId="44" fillId="0" borderId="2" xfId="1" applyFont="1" applyBorder="1" applyAlignment="1" applyProtection="1">
      <alignment horizontal="center" vertical="center" wrapText="1"/>
      <protection hidden="1"/>
    </xf>
    <xf numFmtId="0" fontId="48" fillId="0" borderId="0" xfId="0" applyFont="1" applyAlignment="1" applyProtection="1">
      <protection hidden="1"/>
    </xf>
    <xf numFmtId="0" fontId="0" fillId="5" borderId="1" xfId="0" applyFill="1" applyBorder="1" applyAlignment="1" applyProtection="1">
      <alignment vertical="top" wrapText="1"/>
      <protection hidden="1"/>
    </xf>
    <xf numFmtId="0" fontId="0" fillId="5" borderId="1" xfId="0" applyFill="1" applyBorder="1" applyAlignment="1" applyProtection="1">
      <alignment horizontal="center" vertical="top" wrapText="1"/>
      <protection hidden="1"/>
    </xf>
    <xf numFmtId="165" fontId="0" fillId="5" borderId="1" xfId="0" applyNumberFormat="1" applyFill="1" applyBorder="1" applyAlignment="1" applyProtection="1">
      <alignment horizontal="center" vertical="top" wrapText="1"/>
      <protection hidden="1"/>
    </xf>
    <xf numFmtId="0" fontId="0" fillId="5" borderId="1" xfId="0" applyNumberFormat="1" applyFill="1" applyBorder="1" applyAlignment="1" applyProtection="1">
      <alignment horizontal="center" vertical="top" wrapText="1"/>
      <protection hidden="1"/>
    </xf>
    <xf numFmtId="0" fontId="0" fillId="9" borderId="1" xfId="0" applyFill="1" applyBorder="1" applyAlignment="1" applyProtection="1">
      <alignment vertical="top" wrapText="1"/>
      <protection hidden="1"/>
    </xf>
    <xf numFmtId="0" fontId="0" fillId="7" borderId="1" xfId="0" applyFill="1" applyBorder="1" applyAlignment="1" applyProtection="1">
      <alignment horizontal="center" vertical="top" wrapText="1"/>
      <protection hidden="1"/>
    </xf>
    <xf numFmtId="165" fontId="18" fillId="3" borderId="1" xfId="0" applyNumberFormat="1" applyFont="1" applyFill="1" applyBorder="1" applyAlignment="1" applyProtection="1">
      <alignment horizontal="center" vertical="top" wrapText="1"/>
      <protection hidden="1"/>
    </xf>
    <xf numFmtId="165" fontId="0" fillId="3" borderId="1" xfId="0" applyNumberFormat="1" applyFill="1" applyBorder="1" applyAlignment="1" applyProtection="1">
      <alignment horizontal="center" vertical="top" wrapText="1"/>
      <protection hidden="1"/>
    </xf>
    <xf numFmtId="0" fontId="40" fillId="5" borderId="1" xfId="0" applyFont="1" applyFill="1" applyBorder="1" applyAlignment="1" applyProtection="1">
      <alignment horizontal="right" vertical="top" wrapText="1"/>
      <protection hidden="1"/>
    </xf>
    <xf numFmtId="0" fontId="40" fillId="5" borderId="1" xfId="0" applyFont="1" applyFill="1" applyBorder="1" applyAlignment="1" applyProtection="1">
      <alignment horizontal="center" vertical="top" wrapText="1"/>
      <protection hidden="1"/>
    </xf>
    <xf numFmtId="0" fontId="40" fillId="0" borderId="0" xfId="0" applyFont="1" applyProtection="1">
      <protection hidden="1"/>
    </xf>
    <xf numFmtId="9" fontId="40" fillId="5" borderId="1" xfId="0" applyNumberFormat="1" applyFont="1" applyFill="1" applyBorder="1" applyAlignment="1" applyProtection="1">
      <alignment horizontal="center" vertical="top" wrapText="1"/>
      <protection hidden="1"/>
    </xf>
    <xf numFmtId="0" fontId="0" fillId="5" borderId="1" xfId="0" applyFill="1" applyBorder="1" applyAlignment="1" applyProtection="1">
      <alignment horizontal="left" vertical="top" wrapText="1" indent="1"/>
      <protection hidden="1"/>
    </xf>
    <xf numFmtId="165" fontId="0" fillId="2" borderId="1" xfId="0" applyNumberFormat="1" applyFill="1" applyBorder="1" applyAlignment="1" applyProtection="1">
      <alignment horizontal="center" vertical="top" wrapText="1"/>
      <protection hidden="1"/>
    </xf>
    <xf numFmtId="165" fontId="18" fillId="7" borderId="1" xfId="0" applyNumberFormat="1" applyFont="1" applyFill="1" applyBorder="1" applyAlignment="1" applyProtection="1">
      <alignment horizontal="center" vertical="top" wrapText="1"/>
      <protection hidden="1"/>
    </xf>
    <xf numFmtId="165" fontId="0" fillId="5" borderId="0" xfId="0" applyNumberFormat="1" applyFill="1" applyBorder="1" applyAlignment="1" applyProtection="1">
      <alignment horizontal="center" vertical="top" wrapText="1"/>
      <protection hidden="1"/>
    </xf>
    <xf numFmtId="0" fontId="35" fillId="0" borderId="0" xfId="0" applyFont="1" applyAlignment="1" applyProtection="1">
      <alignment vertical="top"/>
      <protection hidden="1"/>
    </xf>
    <xf numFmtId="9" fontId="0" fillId="5" borderId="1" xfId="0" applyNumberFormat="1" applyFill="1" applyBorder="1" applyAlignment="1" applyProtection="1">
      <alignment horizontal="center" vertical="top" wrapText="1"/>
      <protection hidden="1"/>
    </xf>
    <xf numFmtId="0" fontId="0" fillId="5" borderId="2" xfId="0" applyFill="1" applyBorder="1" applyAlignment="1" applyProtection="1">
      <alignment vertical="top" wrapText="1"/>
      <protection hidden="1"/>
    </xf>
    <xf numFmtId="0" fontId="0" fillId="3" borderId="1" xfId="0" applyNumberFormat="1" applyFill="1" applyBorder="1" applyAlignment="1" applyProtection="1">
      <alignment horizontal="left" vertical="top" wrapText="1"/>
      <protection hidden="1"/>
    </xf>
    <xf numFmtId="0" fontId="0" fillId="3" borderId="1" xfId="0" applyNumberFormat="1" applyFill="1" applyBorder="1" applyAlignment="1" applyProtection="1">
      <alignment horizontal="center" vertical="top" wrapText="1"/>
      <protection hidden="1"/>
    </xf>
    <xf numFmtId="9" fontId="40" fillId="5" borderId="2" xfId="0" applyNumberFormat="1" applyFont="1" applyFill="1" applyBorder="1" applyAlignment="1" applyProtection="1">
      <alignment horizontal="center" vertical="top" wrapText="1"/>
      <protection hidden="1"/>
    </xf>
    <xf numFmtId="165" fontId="21" fillId="3" borderId="1" xfId="0" applyNumberFormat="1" applyFont="1" applyFill="1" applyBorder="1" applyAlignment="1" applyProtection="1">
      <alignment horizontal="center" vertical="top" wrapText="1"/>
      <protection hidden="1"/>
    </xf>
    <xf numFmtId="0" fontId="0" fillId="5" borderId="1" xfId="0" applyFont="1" applyFill="1" applyBorder="1" applyAlignment="1" applyProtection="1">
      <alignment vertical="top" wrapText="1"/>
      <protection hidden="1"/>
    </xf>
    <xf numFmtId="0" fontId="0" fillId="0" borderId="8" xfId="0" applyBorder="1" applyAlignment="1" applyProtection="1">
      <alignment vertical="top" wrapText="1"/>
      <protection hidden="1"/>
    </xf>
    <xf numFmtId="0" fontId="0" fillId="5" borderId="1" xfId="0" applyFill="1" applyBorder="1" applyAlignment="1" applyProtection="1">
      <alignment horizontal="left" vertical="top" wrapText="1"/>
      <protection hidden="1"/>
    </xf>
    <xf numFmtId="0" fontId="21" fillId="3" borderId="1" xfId="0" applyNumberFormat="1" applyFont="1" applyFill="1" applyBorder="1" applyAlignment="1" applyProtection="1">
      <alignment horizontal="left" vertical="top" wrapText="1"/>
      <protection hidden="1"/>
    </xf>
    <xf numFmtId="0" fontId="21" fillId="3" borderId="1" xfId="0" applyNumberFormat="1" applyFont="1" applyFill="1" applyBorder="1" applyAlignment="1" applyProtection="1">
      <alignment horizontal="center" vertical="top" wrapText="1"/>
      <protection hidden="1"/>
    </xf>
    <xf numFmtId="165" fontId="0" fillId="0" borderId="0" xfId="0" applyNumberFormat="1" applyProtection="1">
      <protection hidden="1"/>
    </xf>
    <xf numFmtId="0" fontId="20" fillId="4" borderId="14" xfId="0" applyFont="1" applyFill="1" applyBorder="1" applyAlignment="1" applyProtection="1">
      <alignment horizontal="center" vertical="center" wrapText="1"/>
      <protection hidden="1"/>
    </xf>
    <xf numFmtId="0" fontId="0" fillId="5" borderId="2" xfId="0" applyFill="1" applyBorder="1" applyAlignment="1" applyProtection="1">
      <alignment horizontal="left" vertical="center" wrapText="1"/>
      <protection hidden="1"/>
    </xf>
    <xf numFmtId="0" fontId="34" fillId="0" borderId="0" xfId="0" applyFont="1" applyAlignment="1">
      <alignment vertical="top"/>
    </xf>
    <xf numFmtId="0" fontId="35" fillId="0" borderId="0" xfId="0" applyFont="1" applyAlignment="1">
      <alignment vertical="center"/>
    </xf>
    <xf numFmtId="14" fontId="0" fillId="2" borderId="1" xfId="0" applyNumberFormat="1" applyFill="1" applyBorder="1" applyAlignment="1" applyProtection="1">
      <alignment horizontal="center" vertical="center" wrapText="1"/>
      <protection locked="0"/>
    </xf>
    <xf numFmtId="14" fontId="0" fillId="5" borderId="0" xfId="0" applyNumberFormat="1" applyFill="1" applyBorder="1" applyAlignment="1">
      <alignment horizontal="center" vertical="top"/>
    </xf>
    <xf numFmtId="0" fontId="0" fillId="5" borderId="1" xfId="0" applyNumberFormat="1" applyFill="1" applyBorder="1" applyAlignment="1" applyProtection="1">
      <alignment horizontal="center" vertical="center" wrapText="1"/>
      <protection hidden="1"/>
    </xf>
    <xf numFmtId="0" fontId="0" fillId="5" borderId="2" xfId="0" applyFill="1" applyBorder="1" applyAlignment="1" applyProtection="1">
      <alignment horizontal="center" vertical="center" wrapText="1"/>
      <protection hidden="1"/>
    </xf>
    <xf numFmtId="4" fontId="0" fillId="10" borderId="2" xfId="0" applyNumberFormat="1" applyFill="1" applyBorder="1" applyAlignment="1" applyProtection="1">
      <alignment horizontal="center" vertical="center" wrapText="1"/>
      <protection hidden="1"/>
    </xf>
    <xf numFmtId="164" fontId="0" fillId="5" borderId="2" xfId="0" applyNumberFormat="1" applyFill="1" applyBorder="1" applyAlignment="1" applyProtection="1">
      <alignment horizontal="center" vertical="center" wrapText="1"/>
      <protection locked="0"/>
    </xf>
    <xf numFmtId="0" fontId="36" fillId="0" borderId="0" xfId="0" applyFont="1" applyAlignment="1">
      <alignment vertical="top"/>
    </xf>
    <xf numFmtId="4" fontId="0" fillId="3" borderId="1" xfId="0" applyNumberFormat="1" applyFill="1" applyBorder="1" applyAlignment="1" applyProtection="1">
      <alignment vertical="center" wrapText="1"/>
      <protection hidden="1"/>
    </xf>
    <xf numFmtId="4" fontId="0" fillId="3" borderId="1" xfId="0" applyNumberFormat="1" applyFill="1" applyBorder="1" applyAlignment="1" applyProtection="1">
      <alignment horizontal="center" vertical="center" wrapText="1"/>
      <protection hidden="1"/>
    </xf>
    <xf numFmtId="4" fontId="0" fillId="3" borderId="1" xfId="0" applyNumberFormat="1" applyFill="1" applyBorder="1" applyAlignment="1" applyProtection="1">
      <alignment horizontal="center" vertical="center" wrapText="1"/>
    </xf>
    <xf numFmtId="0" fontId="0" fillId="2" borderId="2" xfId="0" applyNumberFormat="1" applyFill="1" applyBorder="1" applyAlignment="1" applyProtection="1">
      <alignment horizontal="center" vertical="center" wrapText="1"/>
      <protection locked="0"/>
    </xf>
    <xf numFmtId="4" fontId="21" fillId="3" borderId="1" xfId="0" applyNumberFormat="1" applyFont="1" applyFill="1" applyBorder="1" applyAlignment="1" applyProtection="1">
      <alignment vertical="center" wrapText="1"/>
      <protection hidden="1"/>
    </xf>
    <xf numFmtId="4" fontId="21" fillId="3" borderId="1" xfId="0" applyNumberFormat="1" applyFont="1" applyFill="1" applyBorder="1" applyAlignment="1" applyProtection="1">
      <alignment horizontal="center" vertical="center" wrapText="1"/>
      <protection hidden="1"/>
    </xf>
    <xf numFmtId="4" fontId="21" fillId="3" borderId="1" xfId="0" applyNumberFormat="1" applyFont="1" applyFill="1" applyBorder="1" applyAlignment="1" applyProtection="1">
      <alignment horizontal="center" vertical="center" wrapText="1"/>
    </xf>
    <xf numFmtId="4" fontId="0" fillId="10" borderId="2" xfId="0" applyNumberFormat="1" applyFill="1" applyBorder="1" applyAlignment="1" applyProtection="1">
      <alignment horizontal="center" vertical="center" wrapText="1"/>
    </xf>
    <xf numFmtId="164" fontId="0" fillId="5" borderId="2" xfId="0" applyNumberFormat="1" applyFill="1" applyBorder="1" applyAlignment="1" applyProtection="1">
      <alignment horizontal="center" vertical="center" wrapText="1"/>
    </xf>
    <xf numFmtId="0" fontId="0" fillId="10" borderId="1" xfId="0" applyNumberFormat="1" applyFill="1" applyBorder="1" applyAlignment="1" applyProtection="1">
      <alignment horizontal="center" vertical="center" wrapText="1"/>
    </xf>
    <xf numFmtId="164" fontId="0" fillId="5" borderId="1" xfId="0" applyNumberFormat="1" applyFill="1" applyBorder="1" applyAlignment="1" applyProtection="1">
      <alignment horizontal="center" vertical="center"/>
    </xf>
    <xf numFmtId="0" fontId="41" fillId="5" borderId="1" xfId="0" applyFont="1" applyFill="1" applyBorder="1" applyAlignment="1" applyProtection="1">
      <alignment horizontal="center" vertical="center" wrapText="1"/>
    </xf>
    <xf numFmtId="0" fontId="0" fillId="0" borderId="0" xfId="0" applyBorder="1" applyAlignment="1">
      <alignment vertical="top" wrapText="1"/>
    </xf>
    <xf numFmtId="0" fontId="0" fillId="0" borderId="8" xfId="0" applyBorder="1" applyAlignment="1">
      <alignment vertical="top" wrapText="1"/>
    </xf>
    <xf numFmtId="0" fontId="20" fillId="4" borderId="14" xfId="0" applyFont="1" applyFill="1" applyBorder="1" applyAlignment="1">
      <alignment horizontal="center" vertical="center" wrapText="1"/>
    </xf>
    <xf numFmtId="167" fontId="3" fillId="3" borderId="1" xfId="0" applyNumberFormat="1" applyFont="1" applyFill="1" applyBorder="1" applyAlignment="1" applyProtection="1">
      <alignment horizontal="center" vertical="center"/>
    </xf>
    <xf numFmtId="167" fontId="0" fillId="5" borderId="1" xfId="0" applyNumberFormat="1" applyFill="1" applyBorder="1" applyAlignment="1" applyProtection="1">
      <alignment horizontal="center" vertical="center"/>
    </xf>
    <xf numFmtId="165" fontId="3" fillId="3" borderId="1" xfId="0" applyNumberFormat="1" applyFont="1" applyFill="1" applyBorder="1" applyAlignment="1" applyProtection="1">
      <alignment horizontal="center" vertical="center"/>
    </xf>
    <xf numFmtId="9" fontId="0" fillId="5" borderId="1" xfId="0" applyNumberFormat="1" applyFill="1" applyBorder="1" applyAlignment="1" applyProtection="1">
      <alignment horizontal="center" vertical="center"/>
    </xf>
    <xf numFmtId="164" fontId="0" fillId="2" borderId="1" xfId="0" applyNumberFormat="1" applyFill="1" applyBorder="1" applyAlignment="1" applyProtection="1">
      <alignment horizontal="center" vertical="top" wrapText="1"/>
      <protection locked="0"/>
    </xf>
    <xf numFmtId="0" fontId="0" fillId="5" borderId="0" xfId="0" applyFill="1" applyBorder="1" applyAlignment="1" applyProtection="1">
      <alignment vertical="top" wrapText="1"/>
      <protection hidden="1"/>
    </xf>
    <xf numFmtId="0" fontId="26" fillId="5" borderId="0" xfId="0" applyFont="1" applyFill="1" applyBorder="1" applyAlignment="1" applyProtection="1">
      <protection hidden="1"/>
    </xf>
    <xf numFmtId="0" fontId="0" fillId="5" borderId="0" xfId="0" applyFill="1" applyBorder="1" applyAlignment="1" applyProtection="1">
      <alignment horizontal="center" vertical="top" wrapText="1"/>
      <protection locked="0"/>
    </xf>
    <xf numFmtId="43" fontId="0" fillId="0" borderId="0" xfId="2" applyFont="1" applyProtection="1">
      <protection hidden="1"/>
    </xf>
    <xf numFmtId="167" fontId="0" fillId="5" borderId="2" xfId="0" applyNumberFormat="1" applyFill="1" applyBorder="1" applyAlignment="1" applyProtection="1">
      <alignment horizontal="center" vertical="center"/>
    </xf>
    <xf numFmtId="167" fontId="13" fillId="7" borderId="1" xfId="0" applyNumberFormat="1" applyFont="1" applyFill="1" applyBorder="1" applyAlignment="1" applyProtection="1">
      <alignment horizontal="center" vertical="center"/>
    </xf>
    <xf numFmtId="167" fontId="21" fillId="7" borderId="1" xfId="0" applyNumberFormat="1" applyFont="1" applyFill="1" applyBorder="1" applyAlignment="1" applyProtection="1">
      <alignment horizontal="center" vertical="center"/>
    </xf>
    <xf numFmtId="165" fontId="0" fillId="0" borderId="0" xfId="0" applyNumberFormat="1" applyAlignment="1" applyProtection="1">
      <alignment vertical="top" wrapText="1"/>
      <protection hidden="1"/>
    </xf>
    <xf numFmtId="0" fontId="27" fillId="6" borderId="35" xfId="0" applyFont="1" applyFill="1" applyBorder="1" applyAlignment="1">
      <alignment horizontal="center" vertical="center" wrapText="1"/>
    </xf>
    <xf numFmtId="0" fontId="27" fillId="6" borderId="0" xfId="0" applyFont="1" applyFill="1" applyBorder="1" applyAlignment="1">
      <alignment horizontal="center" vertical="center" wrapText="1"/>
    </xf>
    <xf numFmtId="0" fontId="27" fillId="6" borderId="36" xfId="0" applyFont="1" applyFill="1" applyBorder="1" applyAlignment="1">
      <alignment horizontal="center" vertical="center" wrapText="1"/>
    </xf>
    <xf numFmtId="0" fontId="28" fillId="6" borderId="35" xfId="0" applyFont="1" applyFill="1" applyBorder="1" applyAlignment="1">
      <alignment horizontal="center" vertical="center"/>
    </xf>
    <xf numFmtId="0" fontId="28" fillId="6" borderId="0" xfId="0" applyFont="1" applyFill="1" applyBorder="1" applyAlignment="1">
      <alignment horizontal="center" vertical="center"/>
    </xf>
    <xf numFmtId="0" fontId="28" fillId="6" borderId="36" xfId="0" applyFont="1" applyFill="1" applyBorder="1" applyAlignment="1">
      <alignment horizontal="center" vertical="center"/>
    </xf>
    <xf numFmtId="0" fontId="21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wrapText="1"/>
    </xf>
    <xf numFmtId="0" fontId="0" fillId="0" borderId="0" xfId="0" applyAlignment="1" applyProtection="1">
      <alignment horizontal="left" vertical="top" wrapText="1"/>
      <protection hidden="1"/>
    </xf>
    <xf numFmtId="0" fontId="21" fillId="0" borderId="0" xfId="0" applyFont="1" applyAlignment="1">
      <alignment horizontal="center"/>
    </xf>
    <xf numFmtId="0" fontId="0" fillId="5" borderId="23" xfId="0" applyFill="1" applyBorder="1" applyAlignment="1" applyProtection="1">
      <alignment horizontal="left" vertical="center" wrapText="1"/>
      <protection hidden="1"/>
    </xf>
    <xf numFmtId="0" fontId="0" fillId="5" borderId="24" xfId="0" applyFill="1" applyBorder="1" applyAlignment="1" applyProtection="1">
      <alignment horizontal="left" vertical="center" wrapText="1"/>
      <protection hidden="1"/>
    </xf>
    <xf numFmtId="0" fontId="0" fillId="5" borderId="25" xfId="0" applyFill="1" applyBorder="1" applyAlignment="1" applyProtection="1">
      <alignment horizontal="left" vertical="center" wrapText="1"/>
      <protection hidden="1"/>
    </xf>
    <xf numFmtId="3" fontId="2" fillId="5" borderId="23" xfId="0" applyNumberFormat="1" applyFont="1" applyFill="1" applyBorder="1" applyAlignment="1" applyProtection="1">
      <alignment horizontal="left" vertical="center" wrapText="1"/>
      <protection hidden="1"/>
    </xf>
    <xf numFmtId="3" fontId="19" fillId="5" borderId="24" xfId="0" applyNumberFormat="1" applyFont="1" applyFill="1" applyBorder="1" applyAlignment="1" applyProtection="1">
      <alignment horizontal="left" vertical="center" wrapText="1"/>
      <protection hidden="1"/>
    </xf>
    <xf numFmtId="3" fontId="19" fillId="5" borderId="25" xfId="0" applyNumberFormat="1" applyFont="1" applyFill="1" applyBorder="1" applyAlignment="1" applyProtection="1">
      <alignment horizontal="left" vertical="center" wrapText="1"/>
      <protection hidden="1"/>
    </xf>
    <xf numFmtId="0" fontId="33" fillId="4" borderId="12" xfId="0" applyFont="1" applyFill="1" applyBorder="1" applyAlignment="1" applyProtection="1">
      <alignment horizontal="center" vertical="center" wrapText="1"/>
      <protection hidden="1"/>
    </xf>
    <xf numFmtId="0" fontId="33" fillId="4" borderId="13" xfId="0" applyFont="1" applyFill="1" applyBorder="1" applyAlignment="1" applyProtection="1">
      <alignment horizontal="center" vertical="center" wrapText="1"/>
      <protection hidden="1"/>
    </xf>
    <xf numFmtId="0" fontId="33" fillId="4" borderId="14" xfId="0" applyFont="1" applyFill="1" applyBorder="1" applyAlignment="1" applyProtection="1">
      <alignment horizontal="center" vertical="center" wrapText="1"/>
      <protection hidden="1"/>
    </xf>
    <xf numFmtId="3" fontId="5" fillId="5" borderId="23" xfId="0" applyNumberFormat="1" applyFont="1" applyFill="1" applyBorder="1" applyAlignment="1" applyProtection="1">
      <alignment horizontal="left" vertical="center" wrapText="1"/>
      <protection hidden="1"/>
    </xf>
    <xf numFmtId="3" fontId="8" fillId="5" borderId="24" xfId="0" applyNumberFormat="1" applyFont="1" applyFill="1" applyBorder="1" applyAlignment="1" applyProtection="1">
      <alignment horizontal="left" vertical="center" wrapText="1"/>
      <protection hidden="1"/>
    </xf>
    <xf numFmtId="3" fontId="8" fillId="5" borderId="25" xfId="0" applyNumberFormat="1" applyFont="1" applyFill="1" applyBorder="1" applyAlignment="1" applyProtection="1">
      <alignment horizontal="left" vertical="center" wrapText="1"/>
      <protection hidden="1"/>
    </xf>
    <xf numFmtId="3" fontId="19" fillId="5" borderId="23" xfId="0" applyNumberFormat="1" applyFont="1" applyFill="1" applyBorder="1" applyAlignment="1" applyProtection="1">
      <alignment horizontal="left" vertical="center" wrapText="1"/>
      <protection hidden="1"/>
    </xf>
    <xf numFmtId="0" fontId="20" fillId="4" borderId="19" xfId="0" applyFont="1" applyFill="1" applyBorder="1" applyAlignment="1" applyProtection="1">
      <alignment horizontal="center" vertical="center" wrapText="1"/>
      <protection hidden="1"/>
    </xf>
    <xf numFmtId="0" fontId="20" fillId="4" borderId="20" xfId="0" applyFont="1" applyFill="1" applyBorder="1" applyAlignment="1" applyProtection="1">
      <alignment horizontal="center" vertical="center" wrapText="1"/>
      <protection hidden="1"/>
    </xf>
    <xf numFmtId="0" fontId="20" fillId="4" borderId="9" xfId="0" applyFont="1" applyFill="1" applyBorder="1" applyAlignment="1" applyProtection="1">
      <alignment horizontal="center" vertical="center" wrapText="1"/>
      <protection hidden="1"/>
    </xf>
    <xf numFmtId="0" fontId="20" fillId="4" borderId="21" xfId="0" applyFont="1" applyFill="1" applyBorder="1" applyAlignment="1" applyProtection="1">
      <alignment horizontal="center" vertical="center" wrapText="1"/>
      <protection hidden="1"/>
    </xf>
    <xf numFmtId="0" fontId="20" fillId="4" borderId="0" xfId="0" applyFont="1" applyFill="1" applyBorder="1" applyAlignment="1" applyProtection="1">
      <alignment horizontal="center" vertical="center" wrapText="1"/>
      <protection hidden="1"/>
    </xf>
    <xf numFmtId="0" fontId="20" fillId="4" borderId="10" xfId="0" applyFont="1" applyFill="1" applyBorder="1" applyAlignment="1" applyProtection="1">
      <alignment horizontal="center" vertical="center" wrapText="1"/>
      <protection hidden="1"/>
    </xf>
    <xf numFmtId="0" fontId="20" fillId="4" borderId="22" xfId="0" applyFont="1" applyFill="1" applyBorder="1" applyAlignment="1" applyProtection="1">
      <alignment horizontal="center" vertical="center" wrapText="1"/>
      <protection hidden="1"/>
    </xf>
    <xf numFmtId="0" fontId="20" fillId="4" borderId="8" xfId="0" applyFont="1" applyFill="1" applyBorder="1" applyAlignment="1" applyProtection="1">
      <alignment horizontal="center" vertical="center" wrapText="1"/>
      <protection hidden="1"/>
    </xf>
    <xf numFmtId="0" fontId="20" fillId="4" borderId="11" xfId="0" applyFont="1" applyFill="1" applyBorder="1" applyAlignment="1" applyProtection="1">
      <alignment horizontal="center" vertical="center" wrapText="1"/>
      <protection hidden="1"/>
    </xf>
    <xf numFmtId="3" fontId="15" fillId="5" borderId="23" xfId="0" applyNumberFormat="1" applyFont="1" applyFill="1" applyBorder="1" applyAlignment="1" applyProtection="1">
      <alignment horizontal="left" vertical="center" wrapText="1"/>
      <protection hidden="1"/>
    </xf>
    <xf numFmtId="0" fontId="31" fillId="4" borderId="12" xfId="0" applyFont="1" applyFill="1" applyBorder="1" applyAlignment="1" applyProtection="1">
      <alignment horizontal="center" vertical="center" wrapText="1"/>
      <protection hidden="1"/>
    </xf>
    <xf numFmtId="0" fontId="31" fillId="4" borderId="13" xfId="0" applyFont="1" applyFill="1" applyBorder="1" applyAlignment="1" applyProtection="1">
      <alignment horizontal="center" vertical="center" wrapText="1"/>
      <protection hidden="1"/>
    </xf>
    <xf numFmtId="0" fontId="31" fillId="4" borderId="14" xfId="0" applyFont="1" applyFill="1" applyBorder="1" applyAlignment="1" applyProtection="1">
      <alignment horizontal="center" vertical="center" wrapText="1"/>
      <protection hidden="1"/>
    </xf>
    <xf numFmtId="0" fontId="20" fillId="4" borderId="12" xfId="0" applyFont="1" applyFill="1" applyBorder="1" applyAlignment="1" applyProtection="1">
      <alignment horizontal="center" vertical="center" wrapText="1"/>
      <protection hidden="1"/>
    </xf>
    <xf numFmtId="0" fontId="20" fillId="4" borderId="13" xfId="0" applyFont="1" applyFill="1" applyBorder="1" applyAlignment="1" applyProtection="1">
      <alignment horizontal="center" vertical="center" wrapText="1"/>
      <protection hidden="1"/>
    </xf>
    <xf numFmtId="0" fontId="20" fillId="4" borderId="14" xfId="0" applyFont="1" applyFill="1" applyBorder="1" applyAlignment="1" applyProtection="1">
      <alignment horizontal="center" vertical="center" wrapText="1"/>
      <protection hidden="1"/>
    </xf>
    <xf numFmtId="0" fontId="20" fillId="4" borderId="5" xfId="0" applyFont="1" applyFill="1" applyBorder="1" applyAlignment="1" applyProtection="1">
      <alignment horizontal="center" vertical="center" wrapText="1"/>
      <protection hidden="1"/>
    </xf>
    <xf numFmtId="0" fontId="30" fillId="4" borderId="5" xfId="0" applyFont="1" applyFill="1" applyBorder="1" applyAlignment="1" applyProtection="1">
      <alignment horizontal="center" vertical="center" wrapText="1"/>
      <protection hidden="1"/>
    </xf>
    <xf numFmtId="0" fontId="30" fillId="4" borderId="12" xfId="0" applyFont="1" applyFill="1" applyBorder="1" applyAlignment="1" applyProtection="1">
      <alignment horizontal="center" vertical="center" wrapText="1"/>
      <protection hidden="1"/>
    </xf>
    <xf numFmtId="0" fontId="30" fillId="4" borderId="13" xfId="0" applyFont="1" applyFill="1" applyBorder="1" applyAlignment="1" applyProtection="1">
      <alignment horizontal="center" vertical="center" wrapText="1"/>
      <protection hidden="1"/>
    </xf>
    <xf numFmtId="0" fontId="30" fillId="4" borderId="14" xfId="0" applyFont="1" applyFill="1" applyBorder="1" applyAlignment="1" applyProtection="1">
      <alignment horizontal="center" vertical="center" wrapText="1"/>
      <protection hidden="1"/>
    </xf>
    <xf numFmtId="0" fontId="0" fillId="5" borderId="3" xfId="0" applyFill="1" applyBorder="1" applyAlignment="1" applyProtection="1">
      <alignment horizontal="left" vertical="center" wrapText="1"/>
      <protection hidden="1"/>
    </xf>
    <xf numFmtId="0" fontId="0" fillId="5" borderId="2" xfId="0" applyFill="1" applyBorder="1" applyAlignment="1" applyProtection="1">
      <alignment horizontal="left" vertical="center" wrapText="1"/>
      <protection hidden="1"/>
    </xf>
    <xf numFmtId="164" fontId="0" fillId="5" borderId="30" xfId="0" applyNumberFormat="1" applyFill="1" applyBorder="1" applyAlignment="1" applyProtection="1">
      <alignment horizontal="center" vertical="center" wrapText="1"/>
      <protection hidden="1"/>
    </xf>
    <xf numFmtId="164" fontId="0" fillId="5" borderId="2" xfId="0" applyNumberFormat="1" applyFill="1" applyBorder="1" applyAlignment="1" applyProtection="1">
      <alignment horizontal="center" vertical="center" wrapText="1"/>
      <protection hidden="1"/>
    </xf>
    <xf numFmtId="164" fontId="0" fillId="5" borderId="41" xfId="0" applyNumberFormat="1" applyFill="1" applyBorder="1" applyAlignment="1" applyProtection="1">
      <alignment horizontal="center" vertical="center" wrapText="1"/>
      <protection hidden="1"/>
    </xf>
    <xf numFmtId="0" fontId="0" fillId="5" borderId="30" xfId="0" applyFill="1" applyBorder="1" applyAlignment="1" applyProtection="1">
      <alignment horizontal="left" vertical="center" wrapText="1"/>
      <protection hidden="1"/>
    </xf>
    <xf numFmtId="0" fontId="31" fillId="4" borderId="5" xfId="0" applyFont="1" applyFill="1" applyBorder="1" applyAlignment="1" applyProtection="1">
      <alignment horizontal="center" vertical="center" wrapText="1"/>
      <protection hidden="1"/>
    </xf>
    <xf numFmtId="3" fontId="7" fillId="5" borderId="23" xfId="0" applyNumberFormat="1" applyFont="1" applyFill="1" applyBorder="1" applyAlignment="1" applyProtection="1">
      <alignment horizontal="left" vertical="center" wrapText="1"/>
      <protection hidden="1"/>
    </xf>
    <xf numFmtId="3" fontId="6" fillId="5" borderId="23" xfId="0" applyNumberFormat="1" applyFont="1" applyFill="1" applyBorder="1" applyAlignment="1" applyProtection="1">
      <alignment horizontal="left" vertical="center" wrapText="1"/>
      <protection hidden="1"/>
    </xf>
    <xf numFmtId="0" fontId="0" fillId="5" borderId="28" xfId="0" applyFont="1" applyFill="1" applyBorder="1" applyAlignment="1" applyProtection="1">
      <alignment horizontal="left"/>
      <protection hidden="1"/>
    </xf>
    <xf numFmtId="0" fontId="0" fillId="5" borderId="29" xfId="0" applyFont="1" applyFill="1" applyBorder="1" applyAlignment="1" applyProtection="1">
      <alignment horizontal="left"/>
      <protection hidden="1"/>
    </xf>
    <xf numFmtId="0" fontId="0" fillId="5" borderId="7" xfId="0" applyFont="1" applyFill="1" applyBorder="1" applyAlignment="1" applyProtection="1">
      <alignment horizontal="left"/>
      <protection hidden="1"/>
    </xf>
    <xf numFmtId="0" fontId="20" fillId="4" borderId="40" xfId="0" applyFont="1" applyFill="1" applyBorder="1" applyAlignment="1" applyProtection="1">
      <alignment horizontal="center" vertical="center" wrapText="1"/>
      <protection hidden="1"/>
    </xf>
    <xf numFmtId="0" fontId="20" fillId="4" borderId="43" xfId="0" applyFont="1" applyFill="1" applyBorder="1" applyAlignment="1" applyProtection="1">
      <alignment horizontal="center" vertical="center" wrapText="1"/>
      <protection hidden="1"/>
    </xf>
    <xf numFmtId="0" fontId="20" fillId="4" borderId="39" xfId="0" applyFont="1" applyFill="1" applyBorder="1" applyAlignment="1" applyProtection="1">
      <alignment horizontal="center" vertical="center" wrapText="1"/>
      <protection hidden="1"/>
    </xf>
    <xf numFmtId="0" fontId="0" fillId="5" borderId="4" xfId="0" applyFont="1" applyFill="1" applyBorder="1" applyAlignment="1" applyProtection="1">
      <alignment horizontal="left"/>
      <protection hidden="1"/>
    </xf>
    <xf numFmtId="0" fontId="0" fillId="5" borderId="17" xfId="0" applyFont="1" applyFill="1" applyBorder="1" applyAlignment="1" applyProtection="1">
      <alignment horizontal="left"/>
      <protection hidden="1"/>
    </xf>
    <xf numFmtId="0" fontId="0" fillId="5" borderId="6" xfId="0" applyFont="1" applyFill="1" applyBorder="1" applyAlignment="1" applyProtection="1">
      <alignment horizontal="left"/>
      <protection hidden="1"/>
    </xf>
    <xf numFmtId="0" fontId="0" fillId="5" borderId="26" xfId="0" applyFont="1" applyFill="1" applyBorder="1" applyAlignment="1" applyProtection="1">
      <alignment horizontal="left"/>
      <protection hidden="1"/>
    </xf>
    <xf numFmtId="0" fontId="0" fillId="5" borderId="27" xfId="0" applyFont="1" applyFill="1" applyBorder="1" applyAlignment="1" applyProtection="1">
      <alignment horizontal="left"/>
      <protection hidden="1"/>
    </xf>
    <xf numFmtId="0" fontId="0" fillId="5" borderId="16" xfId="0" applyFont="1" applyFill="1" applyBorder="1" applyAlignment="1" applyProtection="1">
      <alignment horizontal="left"/>
      <protection hidden="1"/>
    </xf>
    <xf numFmtId="0" fontId="10" fillId="3" borderId="26" xfId="0" applyNumberFormat="1" applyFont="1" applyFill="1" applyBorder="1" applyAlignment="1" applyProtection="1">
      <alignment horizontal="left" vertical="center" wrapText="1"/>
      <protection hidden="1"/>
    </xf>
    <xf numFmtId="0" fontId="11" fillId="3" borderId="27" xfId="0" applyNumberFormat="1" applyFont="1" applyFill="1" applyBorder="1" applyAlignment="1" applyProtection="1">
      <alignment horizontal="left" vertical="center" wrapText="1"/>
      <protection hidden="1"/>
    </xf>
    <xf numFmtId="0" fontId="11" fillId="3" borderId="16" xfId="0" applyNumberFormat="1" applyFont="1" applyFill="1" applyBorder="1" applyAlignment="1" applyProtection="1">
      <alignment horizontal="left" vertical="center" wrapText="1"/>
      <protection hidden="1"/>
    </xf>
    <xf numFmtId="0" fontId="11" fillId="3" borderId="28" xfId="0" applyNumberFormat="1" applyFont="1" applyFill="1" applyBorder="1" applyAlignment="1" applyProtection="1">
      <alignment horizontal="left" vertical="center" wrapText="1"/>
      <protection hidden="1"/>
    </xf>
    <xf numFmtId="0" fontId="11" fillId="3" borderId="29" xfId="0" applyNumberFormat="1" applyFont="1" applyFill="1" applyBorder="1" applyAlignment="1" applyProtection="1">
      <alignment horizontal="left" vertical="center" wrapText="1"/>
      <protection hidden="1"/>
    </xf>
    <xf numFmtId="0" fontId="11" fillId="3" borderId="7" xfId="0" applyNumberFormat="1" applyFont="1" applyFill="1" applyBorder="1" applyAlignment="1" applyProtection="1">
      <alignment horizontal="left" vertical="center" wrapText="1"/>
      <protection hidden="1"/>
    </xf>
    <xf numFmtId="0" fontId="0" fillId="3" borderId="30" xfId="0" applyNumberFormat="1" applyFill="1" applyBorder="1" applyAlignment="1" applyProtection="1">
      <alignment horizontal="left" vertical="center" wrapText="1"/>
      <protection hidden="1"/>
    </xf>
    <xf numFmtId="0" fontId="0" fillId="3" borderId="2" xfId="0" applyNumberFormat="1" applyFill="1" applyBorder="1" applyAlignment="1" applyProtection="1">
      <alignment horizontal="left" vertical="center" wrapText="1"/>
      <protection hidden="1"/>
    </xf>
    <xf numFmtId="0" fontId="4" fillId="3" borderId="26" xfId="0" applyNumberFormat="1" applyFont="1" applyFill="1" applyBorder="1" applyAlignment="1" applyProtection="1">
      <alignment horizontal="left" wrapText="1"/>
      <protection hidden="1"/>
    </xf>
    <xf numFmtId="0" fontId="11" fillId="3" borderId="27" xfId="0" applyNumberFormat="1" applyFont="1" applyFill="1" applyBorder="1" applyAlignment="1" applyProtection="1">
      <alignment horizontal="left" wrapText="1"/>
      <protection hidden="1"/>
    </xf>
    <xf numFmtId="0" fontId="11" fillId="3" borderId="16" xfId="0" applyNumberFormat="1" applyFont="1" applyFill="1" applyBorder="1" applyAlignment="1" applyProtection="1">
      <alignment horizontal="left" wrapText="1"/>
      <protection hidden="1"/>
    </xf>
    <xf numFmtId="0" fontId="11" fillId="3" borderId="28" xfId="0" applyNumberFormat="1" applyFont="1" applyFill="1" applyBorder="1" applyAlignment="1" applyProtection="1">
      <alignment horizontal="left" wrapText="1"/>
      <protection hidden="1"/>
    </xf>
    <xf numFmtId="0" fontId="11" fillId="3" borderId="29" xfId="0" applyNumberFormat="1" applyFont="1" applyFill="1" applyBorder="1" applyAlignment="1" applyProtection="1">
      <alignment horizontal="left" wrapText="1"/>
      <protection hidden="1"/>
    </xf>
    <xf numFmtId="0" fontId="11" fillId="3" borderId="7" xfId="0" applyNumberFormat="1" applyFont="1" applyFill="1" applyBorder="1" applyAlignment="1" applyProtection="1">
      <alignment horizontal="left" wrapText="1"/>
      <protection hidden="1"/>
    </xf>
    <xf numFmtId="0" fontId="4" fillId="3" borderId="26" xfId="0" applyNumberFormat="1" applyFont="1" applyFill="1" applyBorder="1" applyAlignment="1" applyProtection="1">
      <alignment horizontal="left" vertical="center" wrapText="1"/>
      <protection hidden="1"/>
    </xf>
    <xf numFmtId="0" fontId="0" fillId="2" borderId="4" xfId="0" applyFont="1" applyFill="1" applyBorder="1" applyAlignment="1" applyProtection="1">
      <alignment horizontal="center" vertical="center"/>
      <protection locked="0"/>
    </xf>
    <xf numFmtId="0" fontId="0" fillId="2" borderId="17" xfId="0" applyFont="1" applyFill="1" applyBorder="1" applyAlignment="1" applyProtection="1">
      <alignment horizontal="center" vertical="center"/>
      <protection locked="0"/>
    </xf>
    <xf numFmtId="0" fontId="0" fillId="2" borderId="6" xfId="0" applyFont="1" applyFill="1" applyBorder="1" applyAlignment="1" applyProtection="1">
      <alignment horizontal="center" vertical="center"/>
      <protection locked="0"/>
    </xf>
    <xf numFmtId="0" fontId="30" fillId="4" borderId="18" xfId="0" applyFont="1" applyFill="1" applyBorder="1" applyAlignment="1" applyProtection="1">
      <alignment horizontal="center" vertical="center" wrapText="1"/>
      <protection hidden="1"/>
    </xf>
    <xf numFmtId="0" fontId="34" fillId="0" borderId="0" xfId="0" applyFont="1" applyAlignment="1" applyProtection="1">
      <alignment horizontal="center" vertical="top"/>
      <protection hidden="1"/>
    </xf>
    <xf numFmtId="0" fontId="20" fillId="4" borderId="13" xfId="0" applyFont="1" applyFill="1" applyBorder="1" applyAlignment="1">
      <alignment horizontal="center" vertical="center" wrapText="1"/>
    </xf>
    <xf numFmtId="0" fontId="20" fillId="4" borderId="14" xfId="0" applyFont="1" applyFill="1" applyBorder="1" applyAlignment="1">
      <alignment horizontal="center" vertical="center" wrapText="1"/>
    </xf>
    <xf numFmtId="14" fontId="20" fillId="4" borderId="12" xfId="0" applyNumberFormat="1" applyFont="1" applyFill="1" applyBorder="1" applyAlignment="1" applyProtection="1">
      <alignment horizontal="center" vertical="center" wrapText="1"/>
      <protection hidden="1"/>
    </xf>
    <xf numFmtId="14" fontId="20" fillId="4" borderId="13" xfId="0" applyNumberFormat="1" applyFont="1" applyFill="1" applyBorder="1" applyAlignment="1" applyProtection="1">
      <alignment horizontal="center" vertical="center" wrapText="1"/>
      <protection hidden="1"/>
    </xf>
    <xf numFmtId="14" fontId="20" fillId="4" borderId="14" xfId="0" applyNumberFormat="1" applyFont="1" applyFill="1" applyBorder="1" applyAlignment="1" applyProtection="1">
      <alignment horizontal="center" vertical="center" wrapText="1"/>
      <protection hidden="1"/>
    </xf>
    <xf numFmtId="0" fontId="0" fillId="5" borderId="4" xfId="0" applyFill="1" applyBorder="1" applyAlignment="1" applyProtection="1">
      <alignment horizontal="left" vertical="center" wrapText="1"/>
      <protection hidden="1"/>
    </xf>
    <xf numFmtId="0" fontId="0" fillId="5" borderId="6" xfId="0" applyFill="1" applyBorder="1" applyAlignment="1" applyProtection="1">
      <alignment horizontal="left" vertical="center" wrapText="1"/>
      <protection hidden="1"/>
    </xf>
    <xf numFmtId="0" fontId="14" fillId="5" borderId="27" xfId="0" applyNumberFormat="1" applyFont="1" applyFill="1" applyBorder="1" applyAlignment="1" applyProtection="1">
      <alignment horizontal="left" vertical="center" wrapText="1" indent="1"/>
      <protection hidden="1"/>
    </xf>
    <xf numFmtId="0" fontId="14" fillId="5" borderId="16" xfId="0" applyNumberFormat="1" applyFont="1" applyFill="1" applyBorder="1" applyAlignment="1" applyProtection="1">
      <alignment horizontal="left" vertical="center" wrapText="1" indent="1"/>
      <protection hidden="1"/>
    </xf>
    <xf numFmtId="0" fontId="14" fillId="5" borderId="29" xfId="0" applyNumberFormat="1" applyFont="1" applyFill="1" applyBorder="1" applyAlignment="1" applyProtection="1">
      <alignment horizontal="left" vertical="center" wrapText="1" indent="1"/>
      <protection hidden="1"/>
    </xf>
    <xf numFmtId="0" fontId="14" fillId="5" borderId="7" xfId="0" applyNumberFormat="1" applyFont="1" applyFill="1" applyBorder="1" applyAlignment="1" applyProtection="1">
      <alignment horizontal="left" vertical="center" wrapText="1" indent="1"/>
      <protection hidden="1"/>
    </xf>
    <xf numFmtId="0" fontId="20" fillId="4" borderId="12" xfId="0" applyNumberFormat="1" applyFont="1" applyFill="1" applyBorder="1" applyAlignment="1">
      <alignment horizontal="center" vertical="center" wrapText="1"/>
    </xf>
    <xf numFmtId="0" fontId="20" fillId="4" borderId="14" xfId="0" applyNumberFormat="1" applyFont="1" applyFill="1" applyBorder="1" applyAlignment="1">
      <alignment horizontal="center" vertical="center" wrapText="1"/>
    </xf>
  </cellXfs>
  <cellStyles count="3">
    <cellStyle name="Гиперссылка" xfId="1" builtinId="8"/>
    <cellStyle name="Обычный" xfId="0" builtinId="0"/>
    <cellStyle name="Финансовый" xfId="2" builtinId="3"/>
  </cellStyles>
  <dxfs count="21">
    <dxf>
      <fill>
        <patternFill patternType="lightGray">
          <bgColor theme="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CE4D6"/>
      <color rgb="FFFFE4D6"/>
      <color rgb="FFFF5050"/>
      <color rgb="FF0099FF"/>
      <color rgb="FF3366FF"/>
      <color rgb="FFDA0000"/>
      <color rgb="FFCC0000"/>
      <color rgb="FFE3E9F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&#1042;&#1099;&#1074;&#1086;&#1076;&#1099;!A1"/><Relationship Id="rId3" Type="http://schemas.openxmlformats.org/officeDocument/2006/relationships/hyperlink" Target="https://frprf.ru/partnery/" TargetMode="External"/><Relationship Id="rId7" Type="http://schemas.openxmlformats.org/officeDocument/2006/relationships/hyperlink" Target="#'&#1055;&#1072;&#1088;&#1072;&#1084;&#1077;&#1090;&#1088;&#1099; &#1079;&#1072;&#1081;&#1084;&#1072;'!A1"/><Relationship Id="rId2" Type="http://schemas.openxmlformats.org/officeDocument/2006/relationships/hyperlink" Target="https://frprf.ru/zaymy/" TargetMode="External"/><Relationship Id="rId1" Type="http://schemas.openxmlformats.org/officeDocument/2006/relationships/hyperlink" Target="https://frprf.ru/o-fonde/" TargetMode="External"/><Relationship Id="rId6" Type="http://schemas.openxmlformats.org/officeDocument/2006/relationships/hyperlink" Target="https://frprf.ru/kontakty/" TargetMode="External"/><Relationship Id="rId5" Type="http://schemas.openxmlformats.org/officeDocument/2006/relationships/image" Target="../media/image1.png"/><Relationship Id="rId10" Type="http://schemas.openxmlformats.org/officeDocument/2006/relationships/image" Target="../media/image2.png"/><Relationship Id="rId4" Type="http://schemas.openxmlformats.org/officeDocument/2006/relationships/hyperlink" Target="https://lk.frprf.ru/" TargetMode="External"/><Relationship Id="rId9" Type="http://schemas.openxmlformats.org/officeDocument/2006/relationships/hyperlink" Target="mailto:fm@frprf.ru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3174</xdr:colOff>
      <xdr:row>3</xdr:row>
      <xdr:rowOff>131618</xdr:rowOff>
    </xdr:from>
    <xdr:to>
      <xdr:col>2</xdr:col>
      <xdr:colOff>459501</xdr:colOff>
      <xdr:row>5</xdr:row>
      <xdr:rowOff>59400</xdr:rowOff>
    </xdr:to>
    <xdr:sp macro="" textlink="">
      <xdr:nvSpPr>
        <xdr:cNvPr id="3" name="Скругленный прямоугольник 2">
          <a:hlinkClick xmlns:r="http://schemas.openxmlformats.org/officeDocument/2006/relationships" r:id="rId1" tooltip="Сведения о деятельности фонда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204065" y="671945"/>
          <a:ext cx="1440000" cy="288000"/>
        </a:xfrm>
        <a:prstGeom prst="roundRect">
          <a:avLst/>
        </a:prstGeom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ru-RU" sz="1400">
              <a:solidFill>
                <a:schemeClr val="bg1">
                  <a:lumMod val="50000"/>
                </a:schemeClr>
              </a:solidFill>
            </a:rPr>
            <a:t>О фонде</a:t>
          </a:r>
        </a:p>
      </xdr:txBody>
    </xdr:sp>
    <xdr:clientData/>
  </xdr:twoCellAnchor>
  <xdr:twoCellAnchor>
    <xdr:from>
      <xdr:col>2</xdr:col>
      <xdr:colOff>852337</xdr:colOff>
      <xdr:row>3</xdr:row>
      <xdr:rowOff>131619</xdr:rowOff>
    </xdr:from>
    <xdr:to>
      <xdr:col>4</xdr:col>
      <xdr:colOff>324992</xdr:colOff>
      <xdr:row>5</xdr:row>
      <xdr:rowOff>59401</xdr:rowOff>
    </xdr:to>
    <xdr:sp macro="" textlink="">
      <xdr:nvSpPr>
        <xdr:cNvPr id="4" name="Скругленный прямоугольник 3">
          <a:hlinkClick xmlns:r="http://schemas.openxmlformats.org/officeDocument/2006/relationships" r:id="rId2" tooltip="Основные условия программ финансирования"/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2036901" y="671946"/>
          <a:ext cx="1440000" cy="288000"/>
        </a:xfrm>
        <a:prstGeom prst="roundRect">
          <a:avLst/>
        </a:prstGeom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marL="0" indent="0" algn="ctr"/>
          <a:r>
            <a:rPr lang="ru-RU" sz="1400">
              <a:solidFill>
                <a:schemeClr val="bg1">
                  <a:lumMod val="50000"/>
                </a:schemeClr>
              </a:solidFill>
              <a:latin typeface="+mn-lt"/>
              <a:ea typeface="+mn-ea"/>
              <a:cs typeface="+mn-cs"/>
            </a:rPr>
            <a:t>Программы</a:t>
          </a:r>
        </a:p>
      </xdr:txBody>
    </xdr:sp>
    <xdr:clientData/>
  </xdr:twoCellAnchor>
  <xdr:twoCellAnchor>
    <xdr:from>
      <xdr:col>4</xdr:col>
      <xdr:colOff>709474</xdr:colOff>
      <xdr:row>3</xdr:row>
      <xdr:rowOff>134791</xdr:rowOff>
    </xdr:from>
    <xdr:to>
      <xdr:col>6</xdr:col>
      <xdr:colOff>182128</xdr:colOff>
      <xdr:row>5</xdr:row>
      <xdr:rowOff>62573</xdr:rowOff>
    </xdr:to>
    <xdr:sp macro="" textlink="">
      <xdr:nvSpPr>
        <xdr:cNvPr id="10" name="Скругленный прямоугольник 9">
          <a:hlinkClick xmlns:r="http://schemas.openxmlformats.org/officeDocument/2006/relationships" r:id="rId3" tooltip="Региональные фонды развития промышленности, институты развития и другие партнёры"/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3861383" y="675118"/>
          <a:ext cx="1440000" cy="288000"/>
        </a:xfrm>
        <a:prstGeom prst="roundRect">
          <a:avLst/>
        </a:prstGeom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marL="0" indent="0" algn="ctr"/>
          <a:r>
            <a:rPr lang="ru-RU" sz="1400">
              <a:solidFill>
                <a:schemeClr val="bg1">
                  <a:lumMod val="50000"/>
                </a:schemeClr>
              </a:solidFill>
              <a:latin typeface="+mn-lt"/>
              <a:ea typeface="+mn-ea"/>
              <a:cs typeface="+mn-cs"/>
            </a:rPr>
            <a:t>Партнёры</a:t>
          </a:r>
        </a:p>
      </xdr:txBody>
    </xdr:sp>
    <xdr:clientData/>
  </xdr:twoCellAnchor>
  <xdr:twoCellAnchor>
    <xdr:from>
      <xdr:col>5</xdr:col>
      <xdr:colOff>17121</xdr:colOff>
      <xdr:row>0</xdr:row>
      <xdr:rowOff>126952</xdr:rowOff>
    </xdr:from>
    <xdr:to>
      <xdr:col>6</xdr:col>
      <xdr:colOff>539750</xdr:colOff>
      <xdr:row>2</xdr:row>
      <xdr:rowOff>69850</xdr:rowOff>
    </xdr:to>
    <xdr:grpSp>
      <xdr:nvGrpSpPr>
        <xdr:cNvPr id="8" name="Группа 7">
          <a:hlinkClick xmlns:r="http://schemas.openxmlformats.org/officeDocument/2006/relationships" r:id="rId4" tooltip="Перейти в Личный кабинет Заявителя"/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pSpPr/>
      </xdr:nvGrpSpPr>
      <xdr:grpSpPr>
        <a:xfrm>
          <a:off x="4009684" y="126952"/>
          <a:ext cx="1475129" cy="323898"/>
          <a:chOff x="4144621" y="126952"/>
          <a:chExt cx="1506879" cy="323898"/>
        </a:xfrm>
      </xdr:grpSpPr>
      <xdr:sp macro="" textlink="">
        <xdr:nvSpPr>
          <xdr:cNvPr id="15" name="Скругленный прямоугольник 14">
            <a:extLst>
              <a:ext uri="{FF2B5EF4-FFF2-40B4-BE49-F238E27FC236}">
                <a16:creationId xmlns:a16="http://schemas.microsoft.com/office/drawing/2014/main" id="{00000000-0008-0000-0000-00000F000000}"/>
              </a:ext>
            </a:extLst>
          </xdr:cNvPr>
          <xdr:cNvSpPr/>
        </xdr:nvSpPr>
        <xdr:spPr>
          <a:xfrm>
            <a:off x="4451350" y="139700"/>
            <a:ext cx="1200150" cy="308782"/>
          </a:xfrm>
          <a:prstGeom prst="roundRect">
            <a:avLst/>
          </a:prstGeom>
          <a:ln>
            <a:noFill/>
          </a:ln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marL="0" indent="0" algn="ctr"/>
            <a:r>
              <a:rPr lang="ru-RU" sz="1100">
                <a:solidFill>
                  <a:schemeClr val="bg1">
                    <a:lumMod val="50000"/>
                  </a:schemeClr>
                </a:solidFill>
                <a:latin typeface="+mn-lt"/>
                <a:ea typeface="+mn-ea"/>
                <a:cs typeface="+mn-cs"/>
              </a:rPr>
              <a:t>Личный</a:t>
            </a:r>
            <a:r>
              <a:rPr lang="ru-RU" sz="1100" baseline="0">
                <a:solidFill>
                  <a:schemeClr val="bg1">
                    <a:lumMod val="50000"/>
                  </a:schemeClr>
                </a:solidFill>
                <a:latin typeface="+mn-lt"/>
                <a:ea typeface="+mn-ea"/>
                <a:cs typeface="+mn-cs"/>
              </a:rPr>
              <a:t> кабинет</a:t>
            </a:r>
            <a:endParaRPr lang="ru-RU" sz="1100">
              <a:solidFill>
                <a:schemeClr val="bg1">
                  <a:lumMod val="50000"/>
                </a:schemeClr>
              </a:solidFill>
              <a:latin typeface="+mn-lt"/>
              <a:ea typeface="+mn-ea"/>
              <a:cs typeface="+mn-cs"/>
            </a:endParaRPr>
          </a:p>
        </xdr:txBody>
      </xdr:sp>
      <xdr:pic>
        <xdr:nvPicPr>
          <xdr:cNvPr id="6" name="Рисунок 5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t="10263" r="74368" b="12168"/>
          <a:stretch/>
        </xdr:blipFill>
        <xdr:spPr>
          <a:xfrm>
            <a:off x="4144621" y="126952"/>
            <a:ext cx="357529" cy="323898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533403</xdr:colOff>
      <xdr:row>3</xdr:row>
      <xdr:rowOff>131617</xdr:rowOff>
    </xdr:from>
    <xdr:to>
      <xdr:col>8</xdr:col>
      <xdr:colOff>6058</xdr:colOff>
      <xdr:row>5</xdr:row>
      <xdr:rowOff>59399</xdr:rowOff>
    </xdr:to>
    <xdr:sp macro="" textlink="">
      <xdr:nvSpPr>
        <xdr:cNvPr id="9" name="Скругленный прямоугольник 8">
          <a:hlinkClick xmlns:r="http://schemas.openxmlformats.org/officeDocument/2006/relationships" r:id="rId6" tooltip="Контактные данные фонда"/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5652658" y="671944"/>
          <a:ext cx="1440000" cy="288000"/>
        </a:xfrm>
        <a:prstGeom prst="roundRect">
          <a:avLst/>
        </a:prstGeom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marL="0" indent="0" algn="ctr"/>
          <a:r>
            <a:rPr lang="ru-RU" sz="1400">
              <a:solidFill>
                <a:schemeClr val="bg1">
                  <a:lumMod val="50000"/>
                </a:schemeClr>
              </a:solidFill>
              <a:latin typeface="+mn-lt"/>
              <a:ea typeface="+mn-ea"/>
              <a:cs typeface="+mn-cs"/>
            </a:rPr>
            <a:t>Контакты</a:t>
          </a:r>
        </a:p>
      </xdr:txBody>
    </xdr:sp>
    <xdr:clientData/>
  </xdr:twoCellAnchor>
  <xdr:twoCellAnchor>
    <xdr:from>
      <xdr:col>2</xdr:col>
      <xdr:colOff>56759</xdr:colOff>
      <xdr:row>14</xdr:row>
      <xdr:rowOff>90051</xdr:rowOff>
    </xdr:from>
    <xdr:to>
      <xdr:col>3</xdr:col>
      <xdr:colOff>871903</xdr:colOff>
      <xdr:row>17</xdr:row>
      <xdr:rowOff>89724</xdr:rowOff>
    </xdr:to>
    <xdr:sp macro="" textlink="">
      <xdr:nvSpPr>
        <xdr:cNvPr id="11" name="Скругленный прямоугольник 10">
          <a:hlinkClick xmlns:r="http://schemas.openxmlformats.org/officeDocument/2006/relationships" r:id="rId7" tooltip="Установить параметры привлечения займа"/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1191822" y="2757051"/>
          <a:ext cx="1767644" cy="571173"/>
        </a:xfrm>
        <a:prstGeom prst="roundRect">
          <a:avLst/>
        </a:prstGeom>
        <a:solidFill>
          <a:srgbClr val="C00000"/>
        </a:solidFill>
        <a:ln w="38100">
          <a:noFill/>
        </a:ln>
        <a:effectLst>
          <a:outerShdw blurRad="63500" sx="102000" sy="102000" algn="ctr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ru-RU" sz="1400">
              <a:solidFill>
                <a:schemeClr val="bg1"/>
              </a:solidFill>
            </a:rPr>
            <a:t>Параметры</a:t>
          </a:r>
          <a:r>
            <a:rPr lang="ru-RU" sz="1400" baseline="0">
              <a:solidFill>
                <a:schemeClr val="bg1"/>
              </a:solidFill>
            </a:rPr>
            <a:t> займа</a:t>
          </a:r>
          <a:endParaRPr lang="ru-RU" sz="1400">
            <a:solidFill>
              <a:schemeClr val="bg1"/>
            </a:solidFill>
          </a:endParaRPr>
        </a:p>
      </xdr:txBody>
    </xdr:sp>
    <xdr:clientData/>
  </xdr:twoCellAnchor>
  <xdr:twoCellAnchor>
    <xdr:from>
      <xdr:col>5</xdr:col>
      <xdr:colOff>31306</xdr:colOff>
      <xdr:row>14</xdr:row>
      <xdr:rowOff>96980</xdr:rowOff>
    </xdr:from>
    <xdr:to>
      <xdr:col>6</xdr:col>
      <xdr:colOff>820964</xdr:colOff>
      <xdr:row>17</xdr:row>
      <xdr:rowOff>96653</xdr:rowOff>
    </xdr:to>
    <xdr:sp macro="" textlink="">
      <xdr:nvSpPr>
        <xdr:cNvPr id="13" name="Скругленный прямоугольник 12">
          <a:hlinkClick xmlns:r="http://schemas.openxmlformats.org/officeDocument/2006/relationships" r:id="rId8" tooltip="Ознакомиться с результатами проекта"/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4023869" y="2763980"/>
          <a:ext cx="1742158" cy="571173"/>
        </a:xfrm>
        <a:prstGeom prst="roundRect">
          <a:avLst/>
        </a:prstGeom>
        <a:solidFill>
          <a:srgbClr val="C00000"/>
        </a:solidFill>
        <a:ln w="38100">
          <a:noFill/>
        </a:ln>
        <a:effectLst>
          <a:outerShdw blurRad="63500" sx="102000" sy="102000" algn="ctr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ru-RU" sz="1400">
              <a:solidFill>
                <a:schemeClr val="bg1"/>
              </a:solidFill>
            </a:rPr>
            <a:t>Выводы</a:t>
          </a:r>
        </a:p>
      </xdr:txBody>
    </xdr:sp>
    <xdr:clientData/>
  </xdr:twoCellAnchor>
  <xdr:twoCellAnchor>
    <xdr:from>
      <xdr:col>6</xdr:col>
      <xdr:colOff>692150</xdr:colOff>
      <xdr:row>0</xdr:row>
      <xdr:rowOff>139700</xdr:rowOff>
    </xdr:from>
    <xdr:to>
      <xdr:col>8</xdr:col>
      <xdr:colOff>120650</xdr:colOff>
      <xdr:row>2</xdr:row>
      <xdr:rowOff>82550</xdr:rowOff>
    </xdr:to>
    <xdr:grpSp>
      <xdr:nvGrpSpPr>
        <xdr:cNvPr id="5" name="Группа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pSpPr/>
      </xdr:nvGrpSpPr>
      <xdr:grpSpPr>
        <a:xfrm>
          <a:off x="5637213" y="139700"/>
          <a:ext cx="1333500" cy="323850"/>
          <a:chOff x="5810250" y="139700"/>
          <a:chExt cx="1390650" cy="323850"/>
        </a:xfrm>
      </xdr:grpSpPr>
      <xdr:sp macro="" textlink="">
        <xdr:nvSpPr>
          <xdr:cNvPr id="14" name="Скругленный прямоугольник 13">
            <a:hlinkClick xmlns:r="http://schemas.openxmlformats.org/officeDocument/2006/relationships" r:id="rId9" tooltip="Написать в Техподдержку финансовой модели"/>
            <a:extLst>
              <a:ext uri="{FF2B5EF4-FFF2-40B4-BE49-F238E27FC236}">
                <a16:creationId xmlns:a16="http://schemas.microsoft.com/office/drawing/2014/main" id="{00000000-0008-0000-0000-00000E000000}"/>
              </a:ext>
            </a:extLst>
          </xdr:cNvPr>
          <xdr:cNvSpPr/>
        </xdr:nvSpPr>
        <xdr:spPr>
          <a:xfrm>
            <a:off x="6108700" y="139700"/>
            <a:ext cx="1092200" cy="308782"/>
          </a:xfrm>
          <a:prstGeom prst="roundRect">
            <a:avLst/>
          </a:prstGeom>
          <a:ln>
            <a:noFill/>
          </a:ln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marL="0" indent="0" algn="ctr"/>
            <a:r>
              <a:rPr lang="ru-RU" sz="1100">
                <a:solidFill>
                  <a:schemeClr val="bg1">
                    <a:lumMod val="50000"/>
                  </a:schemeClr>
                </a:solidFill>
                <a:latin typeface="+mn-lt"/>
                <a:ea typeface="+mn-ea"/>
                <a:cs typeface="+mn-cs"/>
              </a:rPr>
              <a:t>Техподдержка</a:t>
            </a:r>
          </a:p>
        </xdr:txBody>
      </xdr:sp>
      <xdr:pic>
        <xdr:nvPicPr>
          <xdr:cNvPr id="7" name="Рисунок 6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0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707" t="17644" r="67699" b="10700"/>
          <a:stretch/>
        </xdr:blipFill>
        <xdr:spPr>
          <a:xfrm>
            <a:off x="5810250" y="158750"/>
            <a:ext cx="355600" cy="304800"/>
          </a:xfrm>
          <a:prstGeom prst="rect">
            <a:avLst/>
          </a:prstGeom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156878</xdr:rowOff>
    </xdr:from>
    <xdr:to>
      <xdr:col>8</xdr:col>
      <xdr:colOff>164726</xdr:colOff>
      <xdr:row>24</xdr:row>
      <xdr:rowOff>134471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/>
        <a:srcRect b="2479"/>
        <a:stretch/>
      </xdr:blipFill>
      <xdr:spPr>
        <a:xfrm>
          <a:off x="0" y="728378"/>
          <a:ext cx="4591050" cy="39780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frprf.ru/zaymy/prioritetnye-proekty/" TargetMode="External"/><Relationship Id="rId13" Type="http://schemas.openxmlformats.org/officeDocument/2006/relationships/hyperlink" Target="https://frprf.ru/zaymy/proekty-razvitiya/" TargetMode="External"/><Relationship Id="rId3" Type="http://schemas.openxmlformats.org/officeDocument/2006/relationships/hyperlink" Target="https://frprf.ru/zaymy/proizvoditelnost-truda/" TargetMode="External"/><Relationship Id="rId7" Type="http://schemas.openxmlformats.org/officeDocument/2006/relationships/hyperlink" Target="https://frprf.ru/zaymy/markirovka-lekarstv/" TargetMode="External"/><Relationship Id="rId12" Type="http://schemas.openxmlformats.org/officeDocument/2006/relationships/hyperlink" Target="https://frprf.ru/zaymy-regfondy/proizvoditelnost-truda-s-rfrp/" TargetMode="External"/><Relationship Id="rId2" Type="http://schemas.openxmlformats.org/officeDocument/2006/relationships/hyperlink" Target="https://frprf.ru/zaymy/konversiya/" TargetMode="External"/><Relationship Id="rId1" Type="http://schemas.openxmlformats.org/officeDocument/2006/relationships/hyperlink" Target="https://frprf.ru/zaymy/komplektuyushchie/" TargetMode="External"/><Relationship Id="rId6" Type="http://schemas.openxmlformats.org/officeDocument/2006/relationships/hyperlink" Target="https://frprf.ru/zaymy/stankostroenie/" TargetMode="External"/><Relationship Id="rId11" Type="http://schemas.openxmlformats.org/officeDocument/2006/relationships/hyperlink" Target="https://frprf.ru/zaymy-regfondy/komplektuyushchie-izdeliya-s-rfrp/" TargetMode="External"/><Relationship Id="rId5" Type="http://schemas.openxmlformats.org/officeDocument/2006/relationships/hyperlink" Target="https://frprf.ru/zaymy/lizing/" TargetMode="External"/><Relationship Id="rId15" Type="http://schemas.openxmlformats.org/officeDocument/2006/relationships/printerSettings" Target="../printerSettings/printerSettings4.bin"/><Relationship Id="rId10" Type="http://schemas.openxmlformats.org/officeDocument/2006/relationships/hyperlink" Target="https://frprf.ru/zaymy-regfondy/proekty-razvitiya-s-rfrp/" TargetMode="External"/><Relationship Id="rId4" Type="http://schemas.openxmlformats.org/officeDocument/2006/relationships/hyperlink" Target="https://frprf.ru/zaymy/tsifrovizatsiya-promyshlennosti/" TargetMode="External"/><Relationship Id="rId9" Type="http://schemas.openxmlformats.org/officeDocument/2006/relationships/hyperlink" Target="https://frprf.ru/zaymy/protivoepidemicheskie-proekty/" TargetMode="External"/><Relationship Id="rId14" Type="http://schemas.openxmlformats.org/officeDocument/2006/relationships/hyperlink" Target="https://frprf.ru/zaymy-regfondy/proekty-lesnoy-promyshlennosti-s-rfrp/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hyperlink" Target="mailto:fm@frprf.ru" TargetMode="External"/><Relationship Id="rId1" Type="http://schemas.openxmlformats.org/officeDocument/2006/relationships/hyperlink" Target="mailto:fm@frprf.ru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rgb="FFDA0000"/>
    <pageSetUpPr fitToPage="1"/>
  </sheetPr>
  <dimension ref="A1:O38"/>
  <sheetViews>
    <sheetView showGridLines="0" showRowColHeaders="0" tabSelected="1" zoomScale="120" zoomScaleNormal="120" workbookViewId="0">
      <selection activeCell="E22" sqref="E22"/>
    </sheetView>
  </sheetViews>
  <sheetFormatPr defaultColWidth="0" defaultRowHeight="15.6" customHeight="1" zeroHeight="1"/>
  <cols>
    <col min="1" max="1" width="2.7109375" customWidth="1"/>
    <col min="2" max="8" width="14.28515625" customWidth="1"/>
    <col min="9" max="9" width="2.7109375" customWidth="1"/>
    <col min="10" max="15" width="0" hidden="1" customWidth="1"/>
    <col min="16" max="16384" width="9.140625" hidden="1"/>
  </cols>
  <sheetData>
    <row r="1" spans="2:8" ht="15" customHeight="1"/>
    <row r="2" spans="2:8" ht="15" customHeight="1"/>
    <row r="3" spans="2:8" ht="15" customHeight="1">
      <c r="B3" s="13"/>
      <c r="C3" s="13"/>
      <c r="D3" s="13"/>
      <c r="E3" s="13"/>
      <c r="F3" s="13"/>
      <c r="G3" s="13"/>
      <c r="H3" s="13"/>
    </row>
    <row r="4" spans="2:8" ht="15" customHeight="1">
      <c r="B4" s="12"/>
      <c r="C4" s="12"/>
      <c r="D4" s="12"/>
      <c r="E4" s="12"/>
      <c r="F4" s="12"/>
      <c r="G4" s="12"/>
      <c r="H4" s="12"/>
    </row>
    <row r="5" spans="2:8" ht="15" customHeight="1"/>
    <row r="6" spans="2:8" ht="15" customHeight="1"/>
    <row r="7" spans="2:8" ht="15" customHeight="1">
      <c r="B7" s="14"/>
      <c r="C7" s="15"/>
      <c r="D7" s="15"/>
      <c r="E7" s="15"/>
      <c r="F7" s="15"/>
      <c r="G7" s="15"/>
      <c r="H7" s="16"/>
    </row>
    <row r="8" spans="2:8" ht="15" customHeight="1">
      <c r="B8" s="221" t="s">
        <v>0</v>
      </c>
      <c r="C8" s="222"/>
      <c r="D8" s="222"/>
      <c r="E8" s="222"/>
      <c r="F8" s="222"/>
      <c r="G8" s="222"/>
      <c r="H8" s="223"/>
    </row>
    <row r="9" spans="2:8" ht="15" customHeight="1">
      <c r="B9" s="218" t="str">
        <f>IF(ISBLANK('Параметры займа'!B7),"&lt;…&gt;",'Параметры займа'!B7)</f>
        <v>&lt;…&gt;</v>
      </c>
      <c r="C9" s="219"/>
      <c r="D9" s="219"/>
      <c r="E9" s="219"/>
      <c r="F9" s="219"/>
      <c r="G9" s="219"/>
      <c r="H9" s="220"/>
    </row>
    <row r="10" spans="2:8" ht="15" customHeight="1">
      <c r="B10" s="218"/>
      <c r="C10" s="219"/>
      <c r="D10" s="219"/>
      <c r="E10" s="219"/>
      <c r="F10" s="219"/>
      <c r="G10" s="219"/>
      <c r="H10" s="220"/>
    </row>
    <row r="11" spans="2:8" ht="15" customHeight="1">
      <c r="B11" s="218"/>
      <c r="C11" s="219"/>
      <c r="D11" s="219"/>
      <c r="E11" s="219"/>
      <c r="F11" s="219"/>
      <c r="G11" s="219"/>
      <c r="H11" s="220"/>
    </row>
    <row r="12" spans="2:8" ht="15" customHeight="1">
      <c r="B12" s="218"/>
      <c r="C12" s="219"/>
      <c r="D12" s="219"/>
      <c r="E12" s="219"/>
      <c r="F12" s="219"/>
      <c r="G12" s="219"/>
      <c r="H12" s="220"/>
    </row>
    <row r="13" spans="2:8" ht="15" customHeight="1">
      <c r="B13" s="17"/>
      <c r="C13" s="18"/>
      <c r="D13" s="18"/>
      <c r="E13" s="18"/>
      <c r="F13" s="18"/>
      <c r="G13" s="18"/>
      <c r="H13" s="19"/>
    </row>
    <row r="14" spans="2:8" ht="15" customHeight="1"/>
    <row r="15" spans="2:8" ht="15" customHeight="1"/>
    <row r="16" spans="2:8" ht="15" customHeight="1"/>
    <row r="17" spans="2:11" ht="15" customHeight="1"/>
    <row r="18" spans="2:11" ht="15" customHeight="1"/>
    <row r="19" spans="2:11" ht="15" customHeight="1">
      <c r="B19" s="3"/>
      <c r="D19" s="2"/>
      <c r="E19" s="4"/>
    </row>
    <row r="20" spans="2:11" ht="15" customHeight="1">
      <c r="B20" s="224" t="s">
        <v>249</v>
      </c>
      <c r="C20" s="225"/>
      <c r="D20" s="225"/>
      <c r="E20" s="225"/>
      <c r="F20" s="225"/>
      <c r="G20" s="225"/>
      <c r="H20" s="225"/>
    </row>
    <row r="21" spans="2:11" ht="15" customHeight="1">
      <c r="B21" s="226" t="s">
        <v>13</v>
      </c>
      <c r="C21" s="226"/>
      <c r="D21" s="226"/>
      <c r="E21" s="226"/>
      <c r="F21" s="226"/>
      <c r="G21" s="226"/>
      <c r="H21" s="226"/>
    </row>
    <row r="22" spans="2:11" ht="15" customHeight="1">
      <c r="B22" s="20"/>
      <c r="H22" s="29" t="s">
        <v>468</v>
      </c>
    </row>
    <row r="23" spans="2:11" ht="15" hidden="1" customHeight="1">
      <c r="K23" s="1"/>
    </row>
    <row r="24" spans="2:11" ht="15.6" hidden="1" customHeight="1"/>
    <row r="25" spans="2:11" ht="15.6" hidden="1" customHeight="1"/>
    <row r="26" spans="2:11" ht="15.6" hidden="1" customHeight="1"/>
    <row r="27" spans="2:11" ht="15.6" hidden="1" customHeight="1"/>
    <row r="28" spans="2:11" ht="15.6" hidden="1" customHeight="1"/>
    <row r="29" spans="2:11" ht="15.6" hidden="1" customHeight="1"/>
    <row r="30" spans="2:11" ht="15.6" hidden="1" customHeight="1"/>
    <row r="31" spans="2:11" ht="15.6" hidden="1" customHeight="1"/>
    <row r="32" spans="2:11" ht="15.6" hidden="1" customHeight="1"/>
    <row r="33" ht="15.6" hidden="1" customHeight="1"/>
    <row r="34" ht="15.6" hidden="1" customHeight="1"/>
    <row r="35" ht="15.6" hidden="1" customHeight="1"/>
    <row r="36" ht="15.6" hidden="1" customHeight="1"/>
    <row r="37" ht="15.6" hidden="1" customHeight="1"/>
    <row r="38" ht="15.6" hidden="1" customHeight="1"/>
  </sheetData>
  <mergeCells count="4">
    <mergeCell ref="B9:H12"/>
    <mergeCell ref="B8:H8"/>
    <mergeCell ref="B20:H20"/>
    <mergeCell ref="B21:H21"/>
  </mergeCell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tabColor rgb="FFDA0000"/>
  </sheetPr>
  <dimension ref="A1:AT635"/>
  <sheetViews>
    <sheetView showGridLines="0" showRowColHeaders="0" zoomScaleNormal="100" workbookViewId="0">
      <selection activeCell="B2" sqref="B2"/>
    </sheetView>
  </sheetViews>
  <sheetFormatPr defaultColWidth="0" defaultRowHeight="15" customHeight="1" zeroHeight="1"/>
  <cols>
    <col min="1" max="1" width="2.85546875" customWidth="1"/>
    <col min="2" max="2" width="50" customWidth="1"/>
    <col min="3" max="3" width="2.85546875" customWidth="1"/>
    <col min="4" max="24" width="15.7109375" hidden="1" customWidth="1"/>
    <col min="25" max="25" width="2.85546875" hidden="1" customWidth="1"/>
    <col min="26" max="30" width="15.7109375" hidden="1" customWidth="1"/>
    <col min="31" max="31" width="2.85546875" hidden="1" customWidth="1"/>
    <col min="32" max="46" width="0" hidden="1" customWidth="1"/>
    <col min="47" max="16384" width="9.140625" hidden="1"/>
  </cols>
  <sheetData>
    <row r="1" spans="2:30" ht="15" customHeight="1"/>
    <row r="2" spans="2:30"/>
    <row r="3" spans="2:30" ht="15" customHeight="1"/>
    <row r="4" spans="2:30" ht="15" customHeight="1"/>
    <row r="5" spans="2:30" ht="31.5">
      <c r="B5" s="7" t="s">
        <v>131</v>
      </c>
      <c r="C5" s="7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</row>
    <row r="6" spans="2:30" ht="15" customHeight="1"/>
    <row r="7" spans="2:30" ht="15" customHeight="1">
      <c r="B7" s="42" t="s">
        <v>233</v>
      </c>
    </row>
    <row r="8" spans="2:30" ht="15" customHeight="1">
      <c r="B8" s="42" t="s">
        <v>42</v>
      </c>
    </row>
    <row r="9" spans="2:30" ht="15" customHeight="1">
      <c r="B9" s="42" t="s">
        <v>187</v>
      </c>
    </row>
    <row r="10" spans="2:30" ht="15" customHeight="1">
      <c r="B10" s="42" t="s">
        <v>28</v>
      </c>
    </row>
    <row r="11" spans="2:30" ht="15" customHeight="1">
      <c r="B11" s="42" t="s">
        <v>179</v>
      </c>
    </row>
    <row r="12" spans="2:30" ht="15" customHeight="1">
      <c r="B12" s="42" t="s">
        <v>132</v>
      </c>
    </row>
    <row r="13" spans="2:30" ht="15" customHeight="1"/>
    <row r="14" spans="2:30" ht="15" hidden="1" customHeight="1"/>
    <row r="15" spans="2:30" ht="15" hidden="1" customHeight="1"/>
    <row r="16" spans="2:30" ht="15" hidden="1" customHeight="1"/>
    <row r="17" ht="15" hidden="1" customHeight="1"/>
    <row r="18" ht="15" hidden="1" customHeight="1"/>
    <row r="19" ht="15" hidden="1" customHeight="1"/>
    <row r="20" ht="15" hidden="1" customHeight="1"/>
    <row r="21" ht="15" hidden="1" customHeight="1"/>
    <row r="22" ht="15" hidden="1" customHeight="1"/>
    <row r="23" ht="15" hidden="1" customHeight="1"/>
    <row r="24" ht="15" hidden="1" customHeight="1"/>
    <row r="25" ht="15" hidden="1" customHeight="1"/>
    <row r="26" ht="15" hidden="1" customHeight="1"/>
    <row r="27" ht="15" hidden="1" customHeight="1"/>
    <row r="28" ht="15" hidden="1" customHeight="1"/>
    <row r="29" ht="15" hidden="1" customHeight="1"/>
    <row r="30" ht="15" hidden="1" customHeight="1"/>
    <row r="31" ht="15" hidden="1" customHeight="1"/>
    <row r="32" ht="15" hidden="1" customHeight="1"/>
    <row r="33" ht="15" hidden="1" customHeight="1"/>
    <row r="34" ht="15" hidden="1" customHeight="1"/>
    <row r="35" ht="15" hidden="1" customHeight="1"/>
    <row r="36" ht="15" hidden="1" customHeight="1"/>
    <row r="37" ht="15" hidden="1" customHeight="1"/>
    <row r="38" ht="15" hidden="1" customHeight="1"/>
    <row r="39" ht="15" hidden="1" customHeight="1"/>
    <row r="40" ht="15" hidden="1" customHeight="1"/>
    <row r="41" ht="15" hidden="1" customHeight="1"/>
    <row r="42" ht="15" hidden="1" customHeight="1"/>
    <row r="43" ht="15" hidden="1" customHeight="1"/>
    <row r="44" ht="15" hidden="1" customHeight="1"/>
    <row r="45" ht="15" hidden="1" customHeight="1"/>
    <row r="46" ht="15" hidden="1" customHeight="1"/>
    <row r="47" ht="15" hidden="1" customHeight="1"/>
    <row r="48" ht="15" hidden="1" customHeight="1"/>
    <row r="49" ht="15" hidden="1" customHeight="1"/>
    <row r="50" ht="15" hidden="1" customHeight="1"/>
    <row r="51" ht="15" hidden="1" customHeight="1"/>
    <row r="52" ht="15" hidden="1" customHeight="1"/>
    <row r="53" ht="15" hidden="1" customHeight="1"/>
    <row r="54" ht="15" hidden="1" customHeight="1"/>
    <row r="55" ht="15" hidden="1" customHeight="1"/>
    <row r="56" ht="15" hidden="1" customHeight="1"/>
    <row r="57" ht="15" hidden="1" customHeight="1"/>
    <row r="58" ht="15" hidden="1" customHeight="1"/>
    <row r="59" ht="15" hidden="1" customHeight="1"/>
    <row r="60" ht="15" hidden="1" customHeight="1"/>
    <row r="61" ht="15" hidden="1" customHeight="1"/>
    <row r="62" ht="15" hidden="1" customHeight="1"/>
    <row r="63" ht="15" hidden="1" customHeight="1"/>
    <row r="64" ht="15" hidden="1" customHeight="1"/>
    <row r="65" ht="15" hidden="1" customHeight="1"/>
    <row r="66" ht="15" hidden="1" customHeight="1"/>
    <row r="67" ht="15" hidden="1" customHeight="1"/>
    <row r="68" ht="15" hidden="1" customHeight="1"/>
    <row r="69" ht="15" hidden="1" customHeight="1"/>
    <row r="70" ht="15" hidden="1" customHeight="1"/>
    <row r="71" ht="15" hidden="1" customHeight="1"/>
    <row r="72" ht="15" hidden="1" customHeight="1"/>
    <row r="73" ht="15" hidden="1" customHeight="1"/>
    <row r="74" ht="15" hidden="1" customHeight="1"/>
    <row r="75" ht="15" hidden="1" customHeight="1"/>
    <row r="76" ht="15" hidden="1" customHeight="1"/>
    <row r="77" ht="15" hidden="1" customHeight="1"/>
    <row r="78" ht="15" hidden="1" customHeight="1"/>
    <row r="79" ht="15" hidden="1" customHeight="1"/>
    <row r="80" ht="15" hidden="1" customHeight="1"/>
    <row r="81" ht="15" hidden="1" customHeight="1"/>
    <row r="82" ht="15" hidden="1" customHeight="1"/>
    <row r="83" ht="15" hidden="1" customHeight="1"/>
    <row r="84" ht="15" hidden="1" customHeight="1"/>
    <row r="85" ht="15" hidden="1" customHeight="1"/>
    <row r="86" ht="15" hidden="1" customHeight="1"/>
    <row r="87" ht="15" hidden="1" customHeight="1"/>
    <row r="88" ht="15" hidden="1" customHeight="1"/>
    <row r="89" ht="15" hidden="1" customHeight="1"/>
    <row r="90" ht="15" hidden="1" customHeight="1"/>
    <row r="91" ht="15" hidden="1" customHeight="1"/>
    <row r="92" ht="15" hidden="1" customHeight="1"/>
    <row r="93" ht="15" hidden="1" customHeight="1"/>
    <row r="94" ht="15" hidden="1" customHeight="1"/>
    <row r="95" ht="15" hidden="1" customHeight="1"/>
    <row r="96" ht="15" hidden="1" customHeight="1"/>
    <row r="97" ht="15" hidden="1" customHeight="1"/>
    <row r="98" ht="15" hidden="1" customHeight="1"/>
    <row r="99" ht="15" hidden="1" customHeight="1"/>
    <row r="100" ht="15" hidden="1" customHeight="1"/>
    <row r="101" ht="15" hidden="1" customHeight="1"/>
    <row r="102" ht="15" hidden="1" customHeight="1"/>
    <row r="103" ht="15" hidden="1" customHeight="1"/>
    <row r="104" ht="15" hidden="1" customHeight="1"/>
    <row r="105" ht="15" hidden="1" customHeight="1"/>
    <row r="106" ht="15" hidden="1" customHeight="1"/>
    <row r="107" ht="15" hidden="1" customHeight="1"/>
    <row r="108" ht="15" hidden="1" customHeight="1"/>
    <row r="109" ht="15" hidden="1" customHeight="1"/>
    <row r="110" ht="15" hidden="1" customHeight="1"/>
    <row r="111" ht="15" hidden="1" customHeight="1"/>
    <row r="112" ht="15" hidden="1" customHeight="1"/>
    <row r="113" ht="15" hidden="1" customHeight="1"/>
    <row r="114" ht="15" hidden="1" customHeight="1"/>
    <row r="115" ht="15" hidden="1" customHeight="1"/>
    <row r="116" ht="15" hidden="1" customHeight="1"/>
    <row r="117" ht="15" hidden="1" customHeight="1"/>
    <row r="118" ht="15" hidden="1" customHeight="1"/>
    <row r="119" ht="15" hidden="1" customHeight="1"/>
    <row r="120" ht="15" hidden="1" customHeight="1"/>
    <row r="121" ht="15" hidden="1" customHeight="1"/>
    <row r="122" ht="15" hidden="1" customHeight="1"/>
    <row r="123" ht="15" hidden="1" customHeight="1"/>
    <row r="124" ht="15" hidden="1" customHeight="1"/>
    <row r="125" ht="15" hidden="1" customHeight="1"/>
    <row r="126" ht="15" hidden="1" customHeight="1"/>
    <row r="127" ht="15" hidden="1" customHeight="1"/>
    <row r="128" ht="15" hidden="1" customHeight="1"/>
    <row r="129" ht="15" hidden="1" customHeight="1"/>
    <row r="130" ht="15" hidden="1" customHeight="1"/>
    <row r="131" ht="15" hidden="1" customHeight="1"/>
    <row r="132" ht="15" hidden="1" customHeight="1"/>
    <row r="133" ht="15" hidden="1" customHeight="1"/>
    <row r="134" ht="15" hidden="1" customHeight="1"/>
    <row r="135" ht="15" hidden="1" customHeight="1"/>
    <row r="136" ht="15" hidden="1" customHeight="1"/>
    <row r="137" ht="15" hidden="1" customHeight="1"/>
    <row r="138" ht="15" hidden="1" customHeight="1"/>
    <row r="139" ht="15" hidden="1" customHeight="1"/>
    <row r="140" ht="15" hidden="1" customHeight="1"/>
    <row r="141" ht="15" hidden="1" customHeight="1"/>
    <row r="142" ht="15" hidden="1" customHeight="1"/>
    <row r="143" ht="15" hidden="1" customHeight="1"/>
    <row r="144" ht="15" hidden="1" customHeight="1"/>
    <row r="145" ht="15" hidden="1" customHeight="1"/>
    <row r="146" ht="15" hidden="1" customHeight="1"/>
    <row r="147" ht="15" hidden="1" customHeight="1"/>
    <row r="148" ht="15" hidden="1" customHeight="1"/>
    <row r="149" ht="15" hidden="1" customHeight="1"/>
    <row r="150" ht="15" hidden="1" customHeight="1"/>
    <row r="151" ht="15" hidden="1" customHeight="1"/>
    <row r="152" ht="15" hidden="1" customHeight="1"/>
    <row r="153" ht="15" hidden="1" customHeight="1"/>
    <row r="154" ht="15" hidden="1" customHeight="1"/>
    <row r="155" ht="15" hidden="1" customHeight="1"/>
    <row r="156" ht="15" hidden="1" customHeight="1"/>
    <row r="157" ht="15" hidden="1" customHeight="1"/>
    <row r="158" ht="15" hidden="1" customHeight="1"/>
    <row r="159" ht="15" hidden="1" customHeight="1"/>
    <row r="160" ht="15" hidden="1" customHeight="1"/>
    <row r="161" ht="15" hidden="1" customHeight="1"/>
    <row r="162" ht="15" hidden="1" customHeight="1"/>
    <row r="163" ht="15" hidden="1" customHeight="1"/>
    <row r="164" ht="15" hidden="1" customHeight="1"/>
    <row r="165" ht="15" hidden="1" customHeight="1"/>
    <row r="166" ht="15" hidden="1" customHeight="1"/>
    <row r="167" ht="15" hidden="1" customHeight="1"/>
    <row r="168" ht="15" hidden="1" customHeight="1"/>
    <row r="169" ht="15" hidden="1" customHeight="1"/>
    <row r="170" ht="15" hidden="1" customHeight="1"/>
    <row r="171" ht="15" hidden="1" customHeight="1"/>
    <row r="172" ht="15" hidden="1" customHeight="1"/>
    <row r="173" ht="15" hidden="1" customHeight="1"/>
    <row r="174" ht="15" hidden="1" customHeight="1"/>
    <row r="175" ht="15" hidden="1" customHeight="1"/>
    <row r="176" ht="15" hidden="1" customHeight="1"/>
    <row r="177" ht="15" hidden="1" customHeight="1"/>
    <row r="178" ht="15" hidden="1" customHeight="1"/>
    <row r="179" ht="15" hidden="1" customHeight="1"/>
    <row r="180" ht="15" hidden="1" customHeight="1"/>
    <row r="181" ht="15" hidden="1" customHeight="1"/>
    <row r="182" ht="15" hidden="1" customHeight="1"/>
    <row r="183" ht="15" hidden="1" customHeight="1"/>
    <row r="184" ht="15" hidden="1" customHeight="1"/>
    <row r="185" ht="15" hidden="1" customHeight="1"/>
    <row r="186" ht="15" hidden="1" customHeight="1"/>
    <row r="187" ht="15" hidden="1" customHeight="1"/>
    <row r="188" ht="15" hidden="1" customHeight="1"/>
    <row r="189" ht="15" hidden="1" customHeight="1"/>
    <row r="190" ht="15" hidden="1" customHeight="1"/>
    <row r="191" ht="15" hidden="1" customHeight="1"/>
    <row r="192" ht="15" hidden="1" customHeight="1"/>
    <row r="193" ht="15" hidden="1" customHeight="1"/>
    <row r="194" ht="15" hidden="1" customHeight="1"/>
    <row r="195" ht="15" hidden="1" customHeight="1"/>
    <row r="196" ht="15" hidden="1" customHeight="1"/>
    <row r="197" ht="15" hidden="1" customHeight="1"/>
    <row r="198" ht="15" hidden="1" customHeight="1"/>
    <row r="199" ht="15" hidden="1" customHeight="1"/>
    <row r="200" ht="15" hidden="1" customHeight="1"/>
    <row r="201" ht="15" hidden="1" customHeight="1"/>
    <row r="202" ht="15" hidden="1" customHeight="1"/>
    <row r="203" ht="15" hidden="1" customHeight="1"/>
    <row r="204" ht="15" hidden="1" customHeight="1"/>
    <row r="205" ht="15" hidden="1" customHeight="1"/>
    <row r="206" ht="15" hidden="1" customHeight="1"/>
    <row r="207" ht="15" hidden="1" customHeight="1"/>
    <row r="208" ht="15" hidden="1" customHeight="1"/>
    <row r="209" ht="15" hidden="1" customHeight="1"/>
    <row r="210" ht="15" hidden="1" customHeight="1"/>
    <row r="211" ht="15" hidden="1" customHeight="1"/>
    <row r="212" ht="15" hidden="1" customHeight="1"/>
    <row r="213" ht="15" hidden="1" customHeight="1"/>
    <row r="214" ht="15" hidden="1" customHeight="1"/>
    <row r="215" ht="15" hidden="1" customHeight="1"/>
    <row r="216" ht="15" hidden="1" customHeight="1"/>
    <row r="217" ht="15" hidden="1" customHeight="1"/>
    <row r="218" ht="15" hidden="1" customHeight="1"/>
    <row r="219" ht="15" hidden="1" customHeight="1"/>
    <row r="220" ht="15" hidden="1" customHeight="1"/>
    <row r="221" ht="15" hidden="1" customHeight="1"/>
    <row r="222" ht="15" hidden="1" customHeight="1"/>
    <row r="223" ht="15" hidden="1" customHeight="1"/>
    <row r="224" ht="15" hidden="1" customHeight="1"/>
    <row r="225" ht="15" hidden="1" customHeight="1"/>
    <row r="226" ht="15" hidden="1" customHeight="1"/>
    <row r="227" ht="15" hidden="1" customHeight="1"/>
    <row r="228" ht="15" hidden="1" customHeight="1"/>
    <row r="229" ht="15" hidden="1" customHeight="1"/>
    <row r="230" ht="15" hidden="1" customHeight="1"/>
    <row r="231" ht="15" hidden="1" customHeight="1"/>
    <row r="232" ht="15" hidden="1" customHeight="1"/>
    <row r="233" ht="15" hidden="1" customHeight="1"/>
    <row r="234" ht="15" hidden="1" customHeight="1"/>
    <row r="235" ht="15" hidden="1" customHeight="1"/>
    <row r="236" ht="15" hidden="1" customHeight="1"/>
    <row r="237" ht="15" hidden="1" customHeight="1"/>
    <row r="238" ht="15" hidden="1" customHeight="1"/>
    <row r="239" ht="15" hidden="1" customHeight="1"/>
    <row r="240" ht="15" hidden="1" customHeight="1"/>
    <row r="241" ht="15" hidden="1" customHeight="1"/>
    <row r="242" ht="15" hidden="1" customHeight="1"/>
    <row r="243" ht="15" hidden="1" customHeight="1"/>
    <row r="244" ht="15" hidden="1" customHeight="1"/>
    <row r="245" ht="15" hidden="1" customHeight="1"/>
    <row r="246" ht="15" hidden="1" customHeight="1"/>
    <row r="247" ht="15" hidden="1" customHeight="1"/>
    <row r="248" ht="15" hidden="1" customHeight="1"/>
    <row r="249" ht="15" hidden="1" customHeight="1"/>
    <row r="250" ht="15" hidden="1" customHeight="1"/>
    <row r="251" ht="15" hidden="1" customHeight="1"/>
    <row r="252" ht="15" hidden="1" customHeight="1"/>
    <row r="253" ht="15" hidden="1" customHeight="1"/>
    <row r="254" ht="15" hidden="1" customHeight="1"/>
    <row r="255" ht="15" hidden="1" customHeight="1"/>
    <row r="256" ht="15" hidden="1" customHeight="1"/>
    <row r="257" ht="15" hidden="1" customHeight="1"/>
    <row r="258" ht="15" hidden="1" customHeight="1"/>
    <row r="259" ht="15" hidden="1" customHeight="1"/>
    <row r="260" ht="15" hidden="1" customHeight="1"/>
    <row r="261" ht="15" hidden="1" customHeight="1"/>
    <row r="262" ht="15" hidden="1" customHeight="1"/>
    <row r="263" ht="15" hidden="1" customHeight="1"/>
    <row r="264" ht="15" hidden="1" customHeight="1"/>
    <row r="265" ht="15" hidden="1" customHeight="1"/>
    <row r="266" ht="15" hidden="1" customHeight="1"/>
    <row r="267" ht="15" hidden="1" customHeight="1"/>
    <row r="268" ht="15" hidden="1" customHeight="1"/>
    <row r="269" ht="15" hidden="1" customHeight="1"/>
    <row r="270" ht="15" hidden="1" customHeight="1"/>
    <row r="271" ht="15" hidden="1" customHeight="1"/>
    <row r="272" ht="15" hidden="1" customHeight="1"/>
    <row r="273" ht="15" hidden="1" customHeight="1"/>
    <row r="274" ht="15" hidden="1" customHeight="1"/>
    <row r="275" ht="15" hidden="1" customHeight="1"/>
    <row r="276" ht="15" hidden="1" customHeight="1"/>
    <row r="277" ht="15" hidden="1" customHeight="1"/>
    <row r="278" ht="15" hidden="1" customHeight="1"/>
    <row r="279" ht="15" hidden="1" customHeight="1"/>
    <row r="280" ht="15" hidden="1" customHeight="1"/>
    <row r="281" ht="15" hidden="1" customHeight="1"/>
    <row r="282" ht="15" hidden="1" customHeight="1"/>
    <row r="283" ht="15" hidden="1" customHeight="1"/>
    <row r="284" ht="15" hidden="1" customHeight="1"/>
    <row r="285" ht="15" hidden="1" customHeight="1"/>
    <row r="286" ht="15" hidden="1" customHeight="1"/>
    <row r="287" ht="15" hidden="1" customHeight="1"/>
    <row r="288" ht="15" hidden="1" customHeight="1"/>
    <row r="289" ht="15" hidden="1" customHeight="1"/>
    <row r="290" ht="15" hidden="1" customHeight="1"/>
    <row r="291" ht="15" hidden="1" customHeight="1"/>
    <row r="292" ht="15" hidden="1" customHeight="1"/>
    <row r="293" ht="15" hidden="1" customHeight="1"/>
    <row r="294" ht="15" hidden="1" customHeight="1"/>
    <row r="295" ht="15" hidden="1" customHeight="1"/>
    <row r="296" ht="15" hidden="1" customHeight="1"/>
    <row r="297" ht="15" hidden="1" customHeight="1"/>
    <row r="298" ht="15" hidden="1" customHeight="1"/>
    <row r="299" ht="15" hidden="1" customHeight="1"/>
    <row r="300" ht="15" hidden="1" customHeight="1"/>
    <row r="301" ht="15" hidden="1" customHeight="1"/>
    <row r="302" ht="15" hidden="1" customHeight="1"/>
    <row r="303" ht="15" hidden="1" customHeight="1"/>
    <row r="304" ht="15" hidden="1" customHeight="1"/>
    <row r="305" ht="15" hidden="1" customHeight="1"/>
    <row r="306" ht="15" hidden="1" customHeight="1"/>
    <row r="307" ht="15" hidden="1" customHeight="1"/>
    <row r="308" ht="15" hidden="1" customHeight="1"/>
    <row r="309" ht="15" hidden="1" customHeight="1"/>
    <row r="310" ht="15" hidden="1" customHeight="1"/>
    <row r="311" ht="15" hidden="1" customHeight="1"/>
    <row r="312" ht="15" hidden="1" customHeight="1"/>
    <row r="313" ht="15" hidden="1" customHeight="1"/>
    <row r="314" ht="15" hidden="1" customHeight="1"/>
    <row r="315" ht="15" hidden="1" customHeight="1"/>
    <row r="316" ht="15" hidden="1" customHeight="1"/>
    <row r="317" ht="15" hidden="1" customHeight="1"/>
    <row r="318" ht="15" hidden="1" customHeight="1"/>
    <row r="319" ht="15" hidden="1" customHeight="1"/>
    <row r="320" ht="15" hidden="1" customHeight="1"/>
    <row r="321" ht="15" hidden="1" customHeight="1"/>
    <row r="322" ht="15" hidden="1" customHeight="1"/>
    <row r="323" ht="15" hidden="1" customHeight="1"/>
    <row r="324" ht="15" hidden="1" customHeight="1"/>
    <row r="325" ht="15" hidden="1" customHeight="1"/>
    <row r="326" ht="15" hidden="1" customHeight="1"/>
    <row r="327" ht="15" hidden="1" customHeight="1"/>
    <row r="328" ht="15" hidden="1" customHeight="1"/>
    <row r="329" ht="15" hidden="1" customHeight="1"/>
    <row r="330" ht="15" hidden="1" customHeight="1"/>
    <row r="331" ht="15" hidden="1" customHeight="1"/>
    <row r="332" ht="15" hidden="1" customHeight="1"/>
    <row r="333" ht="15" hidden="1" customHeight="1"/>
    <row r="334" ht="15" hidden="1" customHeight="1"/>
    <row r="335" ht="15" hidden="1" customHeight="1"/>
    <row r="336" ht="15" hidden="1" customHeight="1"/>
    <row r="337" ht="15" hidden="1" customHeight="1"/>
    <row r="338" ht="15" hidden="1" customHeight="1"/>
    <row r="339" ht="15" hidden="1" customHeight="1"/>
    <row r="340" ht="15" hidden="1" customHeight="1"/>
    <row r="341" ht="15" hidden="1" customHeight="1"/>
    <row r="342" ht="15" hidden="1" customHeight="1"/>
    <row r="343" ht="15" hidden="1" customHeight="1"/>
    <row r="344" ht="15" hidden="1" customHeight="1"/>
    <row r="345" ht="15" hidden="1" customHeight="1"/>
    <row r="346" ht="15" hidden="1" customHeight="1"/>
    <row r="347" ht="15" hidden="1" customHeight="1"/>
    <row r="348" ht="15" hidden="1" customHeight="1"/>
    <row r="349" ht="15" hidden="1" customHeight="1"/>
    <row r="350" ht="15" hidden="1" customHeight="1"/>
    <row r="351" ht="15" hidden="1" customHeight="1"/>
    <row r="352" ht="15" hidden="1" customHeight="1"/>
    <row r="353" ht="15" hidden="1" customHeight="1"/>
    <row r="354" ht="15" hidden="1" customHeight="1"/>
    <row r="355" ht="15" hidden="1" customHeight="1"/>
    <row r="356" ht="15" hidden="1" customHeight="1"/>
    <row r="357" ht="15" hidden="1" customHeight="1"/>
    <row r="358" ht="15" hidden="1" customHeight="1"/>
    <row r="359" ht="15" hidden="1" customHeight="1"/>
    <row r="360" ht="15" hidden="1" customHeight="1"/>
    <row r="361" ht="15" hidden="1" customHeight="1"/>
    <row r="362" ht="15" hidden="1" customHeight="1"/>
    <row r="363" ht="15" hidden="1" customHeight="1"/>
    <row r="364" ht="15" hidden="1" customHeight="1"/>
    <row r="365" ht="15" hidden="1" customHeight="1"/>
    <row r="366" ht="15" hidden="1" customHeight="1"/>
    <row r="367" ht="15" hidden="1" customHeight="1"/>
    <row r="368" ht="15" hidden="1" customHeight="1"/>
    <row r="369" ht="15" hidden="1" customHeight="1"/>
    <row r="370" ht="15" hidden="1" customHeight="1"/>
    <row r="371" ht="15" hidden="1" customHeight="1"/>
    <row r="372" ht="15" hidden="1" customHeight="1"/>
    <row r="373" ht="15" hidden="1" customHeight="1"/>
    <row r="374" ht="15" hidden="1" customHeight="1"/>
    <row r="375" ht="15" hidden="1" customHeight="1"/>
    <row r="376" ht="15" hidden="1" customHeight="1"/>
    <row r="377" ht="15" hidden="1" customHeight="1"/>
    <row r="378" ht="15" hidden="1" customHeight="1"/>
    <row r="379" ht="15" hidden="1" customHeight="1"/>
    <row r="380" ht="15" hidden="1" customHeight="1"/>
    <row r="381" ht="15" hidden="1" customHeight="1"/>
    <row r="382" ht="15" hidden="1" customHeight="1"/>
    <row r="383" ht="15" hidden="1" customHeight="1"/>
    <row r="384" ht="15" hidden="1" customHeight="1"/>
    <row r="385" ht="15" hidden="1" customHeight="1"/>
    <row r="386" ht="15" hidden="1" customHeight="1"/>
    <row r="387" ht="15" hidden="1" customHeight="1"/>
    <row r="388" ht="15" hidden="1" customHeight="1"/>
    <row r="389" ht="15" hidden="1" customHeight="1"/>
    <row r="390" ht="15" hidden="1" customHeight="1"/>
    <row r="391" ht="15" hidden="1" customHeight="1"/>
    <row r="392" ht="15" hidden="1" customHeight="1"/>
    <row r="393" ht="15" hidden="1" customHeight="1"/>
    <row r="394" ht="15" hidden="1" customHeight="1"/>
    <row r="395" ht="15" hidden="1" customHeight="1"/>
    <row r="396" ht="15" hidden="1" customHeight="1"/>
    <row r="397" ht="15" hidden="1" customHeight="1"/>
    <row r="398" ht="15" hidden="1" customHeight="1"/>
    <row r="399" ht="15" hidden="1" customHeight="1"/>
    <row r="400" ht="15" hidden="1" customHeight="1"/>
    <row r="401" ht="15" hidden="1" customHeight="1"/>
    <row r="402" ht="15" hidden="1" customHeight="1"/>
    <row r="403" ht="15" hidden="1" customHeight="1"/>
    <row r="404" ht="15" hidden="1" customHeight="1"/>
    <row r="405" ht="15" hidden="1" customHeight="1"/>
    <row r="406" ht="15" hidden="1" customHeight="1"/>
    <row r="407" ht="15" hidden="1" customHeight="1"/>
    <row r="408" ht="15" hidden="1" customHeight="1"/>
    <row r="409" ht="15" hidden="1" customHeight="1"/>
    <row r="410" ht="15" hidden="1" customHeight="1"/>
    <row r="411" ht="15" hidden="1" customHeight="1"/>
    <row r="412" ht="15" hidden="1" customHeight="1"/>
    <row r="413" ht="15" hidden="1" customHeight="1"/>
    <row r="414" ht="15" hidden="1" customHeight="1"/>
    <row r="415" ht="15" hidden="1" customHeight="1"/>
    <row r="416" ht="15" hidden="1" customHeight="1"/>
    <row r="417" ht="15" hidden="1" customHeight="1"/>
    <row r="418" ht="15" hidden="1" customHeight="1"/>
    <row r="419" ht="15" hidden="1" customHeight="1"/>
    <row r="420" ht="15" hidden="1" customHeight="1"/>
    <row r="421" ht="15" hidden="1" customHeight="1"/>
    <row r="422" ht="15" hidden="1" customHeight="1"/>
    <row r="423" ht="15" hidden="1" customHeight="1"/>
    <row r="424" ht="15" hidden="1" customHeight="1"/>
    <row r="425" ht="15" hidden="1" customHeight="1"/>
    <row r="426" ht="15" hidden="1" customHeight="1"/>
    <row r="427" ht="15" hidden="1" customHeight="1"/>
    <row r="428" ht="15" hidden="1" customHeight="1"/>
    <row r="429" ht="15" hidden="1" customHeight="1"/>
    <row r="430" ht="15" hidden="1" customHeight="1"/>
    <row r="431" ht="15" hidden="1" customHeight="1"/>
    <row r="432" ht="15" hidden="1" customHeight="1"/>
    <row r="433" ht="15" hidden="1" customHeight="1"/>
    <row r="434" ht="15" hidden="1" customHeight="1"/>
    <row r="435" ht="15" hidden="1" customHeight="1"/>
    <row r="436" ht="15" hidden="1" customHeight="1"/>
    <row r="437" ht="15" hidden="1" customHeight="1"/>
    <row r="438" ht="15" hidden="1" customHeight="1"/>
    <row r="439" ht="15" hidden="1" customHeight="1"/>
    <row r="440" ht="15" hidden="1" customHeight="1"/>
    <row r="441" ht="15" hidden="1" customHeight="1"/>
    <row r="442" ht="15" hidden="1" customHeight="1"/>
    <row r="443" ht="15" hidden="1" customHeight="1"/>
    <row r="444" ht="15" hidden="1" customHeight="1"/>
    <row r="445" ht="15" hidden="1" customHeight="1"/>
    <row r="446" ht="15" hidden="1" customHeight="1"/>
    <row r="447" ht="15" hidden="1" customHeight="1"/>
    <row r="448" ht="15" hidden="1" customHeight="1"/>
    <row r="449" ht="15" hidden="1" customHeight="1"/>
    <row r="450" ht="15" hidden="1" customHeight="1"/>
    <row r="451" ht="15" hidden="1" customHeight="1"/>
    <row r="452" ht="15" hidden="1" customHeight="1"/>
    <row r="453" ht="15" hidden="1" customHeight="1"/>
    <row r="454" ht="15" hidden="1" customHeight="1"/>
    <row r="455" ht="15" hidden="1" customHeight="1"/>
    <row r="456" ht="15" hidden="1" customHeight="1"/>
    <row r="457" ht="15" hidden="1" customHeight="1"/>
    <row r="458" ht="15" hidden="1" customHeight="1"/>
    <row r="459" ht="15" hidden="1" customHeight="1"/>
    <row r="460" ht="15" hidden="1" customHeight="1"/>
    <row r="461" ht="15" hidden="1" customHeight="1"/>
    <row r="462" ht="15" hidden="1" customHeight="1"/>
    <row r="463" ht="15" hidden="1" customHeight="1"/>
    <row r="464" ht="15" hidden="1" customHeight="1"/>
    <row r="465" ht="15" hidden="1" customHeight="1"/>
    <row r="466" ht="15" hidden="1" customHeight="1"/>
    <row r="467" ht="15" hidden="1" customHeight="1"/>
    <row r="468" ht="15" hidden="1" customHeight="1"/>
    <row r="469" ht="15" hidden="1" customHeight="1"/>
    <row r="470" ht="15" hidden="1" customHeight="1"/>
    <row r="471" ht="15" hidden="1" customHeight="1"/>
    <row r="472" ht="15" hidden="1" customHeight="1"/>
    <row r="473" ht="15" hidden="1" customHeight="1"/>
    <row r="474" ht="15" hidden="1" customHeight="1"/>
    <row r="475" ht="15" hidden="1" customHeight="1"/>
    <row r="476" ht="15" hidden="1" customHeight="1"/>
    <row r="477" ht="15" hidden="1" customHeight="1"/>
    <row r="478" ht="15" hidden="1" customHeight="1"/>
    <row r="479" ht="15" hidden="1" customHeight="1"/>
    <row r="480" ht="15" hidden="1" customHeight="1"/>
    <row r="481" ht="15" hidden="1" customHeight="1"/>
    <row r="482" ht="15" hidden="1" customHeight="1"/>
    <row r="483" ht="15" hidden="1" customHeight="1"/>
    <row r="484" ht="15" hidden="1" customHeight="1"/>
    <row r="485" ht="15" hidden="1" customHeight="1"/>
    <row r="486" ht="15" hidden="1" customHeight="1"/>
    <row r="487" ht="15" hidden="1" customHeight="1"/>
    <row r="488" ht="15" hidden="1" customHeight="1"/>
    <row r="489" ht="15" hidden="1" customHeight="1"/>
    <row r="490" ht="15" hidden="1" customHeight="1"/>
    <row r="491" ht="15" hidden="1" customHeight="1"/>
    <row r="492" ht="15" hidden="1" customHeight="1"/>
    <row r="493" ht="15" hidden="1" customHeight="1"/>
    <row r="494" ht="15" hidden="1" customHeight="1"/>
    <row r="495" ht="15" hidden="1" customHeight="1"/>
    <row r="496" ht="15" hidden="1" customHeight="1"/>
    <row r="497" ht="15" hidden="1" customHeight="1"/>
    <row r="498" ht="15" hidden="1" customHeight="1"/>
    <row r="499" ht="15" hidden="1" customHeight="1"/>
    <row r="500" ht="15" hidden="1" customHeight="1"/>
    <row r="501" ht="15" hidden="1" customHeight="1"/>
    <row r="502" ht="15" hidden="1" customHeight="1"/>
    <row r="503" ht="15" hidden="1" customHeight="1"/>
    <row r="504" ht="15" hidden="1" customHeight="1"/>
    <row r="505" ht="15" hidden="1" customHeight="1"/>
    <row r="506" ht="15" hidden="1" customHeight="1"/>
    <row r="507" ht="15" hidden="1" customHeight="1"/>
    <row r="508" ht="15" hidden="1" customHeight="1"/>
    <row r="509" ht="15" hidden="1" customHeight="1"/>
    <row r="510" ht="15" hidden="1" customHeight="1"/>
    <row r="511" ht="15" hidden="1" customHeight="1"/>
    <row r="512" ht="15" hidden="1" customHeight="1"/>
    <row r="513" ht="15" hidden="1" customHeight="1"/>
    <row r="514" ht="15" hidden="1" customHeight="1"/>
    <row r="515" ht="15" hidden="1" customHeight="1"/>
    <row r="516" ht="15" hidden="1" customHeight="1"/>
    <row r="517" ht="15" hidden="1" customHeight="1"/>
    <row r="518" ht="15" hidden="1" customHeight="1"/>
    <row r="519" ht="15" hidden="1" customHeight="1"/>
    <row r="520" ht="15" hidden="1" customHeight="1"/>
    <row r="521" ht="15" hidden="1" customHeight="1"/>
    <row r="522" ht="15" hidden="1" customHeight="1"/>
    <row r="523" ht="15" hidden="1" customHeight="1"/>
    <row r="524" ht="15" hidden="1" customHeight="1"/>
    <row r="525" ht="15" hidden="1" customHeight="1"/>
    <row r="526" ht="15" hidden="1" customHeight="1"/>
    <row r="527" ht="15" hidden="1" customHeight="1"/>
    <row r="528" ht="15" hidden="1" customHeight="1"/>
    <row r="529" ht="15" hidden="1" customHeight="1"/>
    <row r="530" ht="15" hidden="1" customHeight="1"/>
    <row r="531" ht="15" hidden="1" customHeight="1"/>
    <row r="532" ht="15" hidden="1" customHeight="1"/>
    <row r="533" ht="15" hidden="1" customHeight="1"/>
    <row r="534" ht="15" hidden="1" customHeight="1"/>
    <row r="535" ht="15" hidden="1" customHeight="1"/>
    <row r="536" ht="15" hidden="1" customHeight="1"/>
    <row r="537" ht="15" hidden="1" customHeight="1"/>
    <row r="538" ht="15" hidden="1" customHeight="1"/>
    <row r="539" ht="15" hidden="1" customHeight="1"/>
    <row r="540" ht="15" hidden="1" customHeight="1"/>
    <row r="541" ht="15" hidden="1" customHeight="1"/>
    <row r="542" ht="15" hidden="1" customHeight="1"/>
    <row r="543" ht="15" hidden="1" customHeight="1"/>
    <row r="544" ht="15" hidden="1" customHeight="1"/>
    <row r="545" ht="15" hidden="1" customHeight="1"/>
    <row r="546" ht="15" hidden="1" customHeight="1"/>
    <row r="547" ht="15" hidden="1" customHeight="1"/>
    <row r="548" ht="15" hidden="1" customHeight="1"/>
    <row r="549" ht="15" hidden="1" customHeight="1"/>
    <row r="550" ht="15" hidden="1" customHeight="1"/>
    <row r="551" ht="15" hidden="1" customHeight="1"/>
    <row r="552" ht="15" hidden="1" customHeight="1"/>
    <row r="553" ht="15" hidden="1" customHeight="1"/>
    <row r="554" ht="15" hidden="1" customHeight="1"/>
    <row r="555" ht="15" hidden="1" customHeight="1"/>
    <row r="556" ht="15" hidden="1" customHeight="1"/>
    <row r="557" ht="15" hidden="1" customHeight="1"/>
    <row r="558" ht="15" hidden="1" customHeight="1"/>
    <row r="559" ht="15" hidden="1" customHeight="1"/>
    <row r="560" ht="15" hidden="1" customHeight="1"/>
    <row r="561" ht="15" hidden="1" customHeight="1"/>
    <row r="562" ht="15" hidden="1" customHeight="1"/>
    <row r="563" ht="15" hidden="1" customHeight="1"/>
    <row r="564" ht="15" hidden="1" customHeight="1"/>
    <row r="565" ht="15" hidden="1" customHeight="1"/>
    <row r="566" ht="15" hidden="1" customHeight="1"/>
    <row r="567" ht="15" hidden="1" customHeight="1"/>
    <row r="568" ht="15" hidden="1" customHeight="1"/>
    <row r="569" ht="15" hidden="1" customHeight="1"/>
    <row r="570" ht="15" hidden="1" customHeight="1"/>
    <row r="571" ht="15" hidden="1" customHeight="1"/>
    <row r="572" ht="15" hidden="1" customHeight="1"/>
    <row r="573" ht="15" hidden="1" customHeight="1"/>
    <row r="574" ht="15" hidden="1" customHeight="1"/>
    <row r="575" ht="15" hidden="1" customHeight="1"/>
    <row r="576" ht="15" hidden="1" customHeight="1"/>
    <row r="577" ht="15" hidden="1" customHeight="1"/>
    <row r="578" ht="15" hidden="1" customHeight="1"/>
    <row r="579" ht="15" hidden="1" customHeight="1"/>
    <row r="580" ht="15" hidden="1" customHeight="1"/>
    <row r="581" ht="15" hidden="1" customHeight="1"/>
    <row r="582" ht="15" hidden="1" customHeight="1"/>
    <row r="583" ht="15" hidden="1" customHeight="1"/>
    <row r="584" ht="15" hidden="1" customHeight="1"/>
    <row r="585" ht="15" hidden="1" customHeight="1"/>
    <row r="586" ht="15" hidden="1" customHeight="1"/>
    <row r="587" ht="15" hidden="1" customHeight="1"/>
    <row r="588" ht="15" hidden="1" customHeight="1"/>
    <row r="589" ht="15" hidden="1" customHeight="1"/>
    <row r="590" ht="15" hidden="1" customHeight="1"/>
    <row r="591" ht="15" hidden="1" customHeight="1"/>
    <row r="592" ht="15" hidden="1" customHeight="1"/>
    <row r="593" ht="15" hidden="1" customHeight="1"/>
    <row r="594" ht="15" hidden="1" customHeight="1"/>
    <row r="595" ht="15" hidden="1" customHeight="1"/>
    <row r="596" ht="15" hidden="1" customHeight="1"/>
    <row r="597" ht="15" hidden="1" customHeight="1"/>
    <row r="598" ht="15" hidden="1" customHeight="1"/>
    <row r="599" ht="15" hidden="1" customHeight="1"/>
    <row r="600" ht="15" hidden="1" customHeight="1"/>
    <row r="601" ht="15" hidden="1" customHeight="1"/>
    <row r="602" ht="15" hidden="1" customHeight="1"/>
    <row r="603" ht="15" hidden="1" customHeight="1"/>
    <row r="604" ht="15" hidden="1" customHeight="1"/>
    <row r="605" ht="15" hidden="1" customHeight="1"/>
    <row r="606" ht="15" hidden="1" customHeight="1"/>
    <row r="607" ht="15" hidden="1" customHeight="1"/>
    <row r="608" ht="15" hidden="1" customHeight="1"/>
    <row r="609" ht="15" hidden="1" customHeight="1"/>
    <row r="610" ht="15" hidden="1" customHeight="1"/>
    <row r="611" ht="15" hidden="1" customHeight="1"/>
    <row r="612" ht="15" hidden="1" customHeight="1"/>
    <row r="613" ht="15" hidden="1" customHeight="1"/>
    <row r="614" ht="15" hidden="1" customHeight="1"/>
    <row r="615" ht="15" hidden="1" customHeight="1"/>
    <row r="616" ht="15" hidden="1" customHeight="1"/>
    <row r="617" ht="15" hidden="1" customHeight="1"/>
    <row r="618" ht="15" hidden="1" customHeight="1"/>
    <row r="619" ht="15" hidden="1" customHeight="1"/>
    <row r="620" ht="15" hidden="1" customHeight="1"/>
    <row r="621" ht="15" hidden="1" customHeight="1"/>
    <row r="622" ht="15" hidden="1" customHeight="1"/>
    <row r="623" ht="15" hidden="1" customHeight="1"/>
    <row r="624" ht="15" hidden="1" customHeight="1"/>
    <row r="625" ht="15" hidden="1" customHeight="1"/>
    <row r="626" ht="15" hidden="1" customHeight="1"/>
    <row r="627" ht="15" hidden="1" customHeight="1"/>
    <row r="628" ht="15" hidden="1" customHeight="1"/>
    <row r="629" ht="15" hidden="1" customHeight="1"/>
    <row r="630" ht="15" hidden="1" customHeight="1"/>
    <row r="631" ht="15" hidden="1" customHeight="1"/>
    <row r="632" ht="15" hidden="1" customHeight="1"/>
    <row r="633" ht="15" hidden="1" customHeight="1"/>
    <row r="634" ht="15" hidden="1" customHeight="1"/>
    <row r="635" ht="15" customHeight="1"/>
  </sheetData>
  <dataConsolidate link="1"/>
  <hyperlinks>
    <hyperlink ref="B10" location="'Параметры займа'!A1" tooltip="Перейти на лист" display="Параметры займа"/>
    <hyperlink ref="B11" location="'Квартальная отчетность'!A1" tooltip="Перейти на лист" display="Квартальная отчетность"/>
    <hyperlink ref="B12" location="Выводы!A1" tooltip="Перейти на лист" display="Выводы"/>
    <hyperlink ref="B9" location="Руководство!A1" tooltip="Перейти на лист" display="Руководство"/>
    <hyperlink ref="B8" location="'Программы финансирования'!A1" tooltip="Перейти на лист" display="Программы финансирования"/>
    <hyperlink ref="B7" location="Обращение!A1" tooltip="Перейти на лист" display="Обращение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tabColor rgb="FFDA0000"/>
  </sheetPr>
  <dimension ref="A1:I37"/>
  <sheetViews>
    <sheetView showGridLines="0" showRowColHeaders="0" zoomScaleNormal="100" workbookViewId="0"/>
  </sheetViews>
  <sheetFormatPr defaultColWidth="0" defaultRowHeight="15" zeroHeight="1"/>
  <cols>
    <col min="1" max="1" width="2.85546875" customWidth="1"/>
    <col min="2" max="8" width="9.140625" customWidth="1"/>
    <col min="9" max="9" width="2.85546875" customWidth="1"/>
    <col min="10" max="16384" width="9.140625" hidden="1"/>
  </cols>
  <sheetData>
    <row r="1" spans="2:8"/>
    <row r="2" spans="2:8"/>
    <row r="3" spans="2:8"/>
    <row r="4" spans="2:8"/>
    <row r="5" spans="2:8">
      <c r="B5" s="228"/>
      <c r="C5" s="228"/>
      <c r="D5" s="228"/>
      <c r="E5" s="228"/>
      <c r="F5" s="228"/>
      <c r="G5" s="228"/>
      <c r="H5" s="228"/>
    </row>
    <row r="6" spans="2:8"/>
    <row r="7" spans="2:8" ht="15" customHeight="1">
      <c r="B7" s="227"/>
      <c r="C7" s="227"/>
      <c r="D7" s="227"/>
      <c r="E7" s="227"/>
      <c r="F7" s="227"/>
      <c r="G7" s="227"/>
      <c r="H7" s="227"/>
    </row>
    <row r="8" spans="2:8">
      <c r="B8" s="227"/>
      <c r="C8" s="227"/>
      <c r="D8" s="227"/>
      <c r="E8" s="227"/>
      <c r="F8" s="227"/>
      <c r="G8" s="227"/>
      <c r="H8" s="227"/>
    </row>
    <row r="9" spans="2:8">
      <c r="B9" s="227"/>
      <c r="C9" s="227"/>
      <c r="D9" s="227"/>
      <c r="E9" s="227"/>
      <c r="F9" s="227"/>
      <c r="G9" s="227"/>
      <c r="H9" s="227"/>
    </row>
    <row r="10" spans="2:8">
      <c r="B10" s="227"/>
      <c r="C10" s="227"/>
      <c r="D10" s="227"/>
      <c r="E10" s="227"/>
      <c r="F10" s="227"/>
      <c r="G10" s="227"/>
      <c r="H10" s="227"/>
    </row>
    <row r="11" spans="2:8">
      <c r="B11" s="227"/>
      <c r="C11" s="227"/>
      <c r="D11" s="227"/>
      <c r="E11" s="227"/>
      <c r="F11" s="227"/>
      <c r="G11" s="227"/>
      <c r="H11" s="227"/>
    </row>
    <row r="12" spans="2:8">
      <c r="B12" s="227"/>
      <c r="C12" s="227"/>
      <c r="D12" s="227"/>
      <c r="E12" s="227"/>
      <c r="F12" s="227"/>
      <c r="G12" s="227"/>
      <c r="H12" s="227"/>
    </row>
    <row r="13" spans="2:8">
      <c r="B13" s="227"/>
      <c r="C13" s="227"/>
      <c r="D13" s="227"/>
      <c r="E13" s="227"/>
      <c r="F13" s="227"/>
      <c r="G13" s="227"/>
      <c r="H13" s="227"/>
    </row>
    <row r="14" spans="2:8">
      <c r="B14" s="227"/>
      <c r="C14" s="227"/>
      <c r="D14" s="227"/>
      <c r="E14" s="227"/>
      <c r="F14" s="227"/>
      <c r="G14" s="227"/>
      <c r="H14" s="227"/>
    </row>
    <row r="15" spans="2:8">
      <c r="B15" s="227"/>
      <c r="C15" s="227"/>
      <c r="D15" s="227"/>
      <c r="E15" s="227"/>
      <c r="F15" s="227"/>
      <c r="G15" s="227"/>
      <c r="H15" s="227"/>
    </row>
    <row r="16" spans="2:8">
      <c r="B16" s="227"/>
      <c r="C16" s="227"/>
      <c r="D16" s="227"/>
      <c r="E16" s="227"/>
      <c r="F16" s="227"/>
      <c r="G16" s="227"/>
      <c r="H16" s="227"/>
    </row>
    <row r="17" spans="2:8">
      <c r="B17" s="227"/>
      <c r="C17" s="227"/>
      <c r="D17" s="227"/>
      <c r="E17" s="227"/>
      <c r="F17" s="227"/>
      <c r="G17" s="227"/>
      <c r="H17" s="227"/>
    </row>
    <row r="18" spans="2:8">
      <c r="B18" s="227"/>
      <c r="C18" s="227"/>
      <c r="D18" s="227"/>
      <c r="E18" s="227"/>
      <c r="F18" s="227"/>
      <c r="G18" s="227"/>
      <c r="H18" s="227"/>
    </row>
    <row r="19" spans="2:8">
      <c r="B19" s="227"/>
      <c r="C19" s="227"/>
      <c r="D19" s="227"/>
      <c r="E19" s="227"/>
      <c r="F19" s="227"/>
      <c r="G19" s="227"/>
      <c r="H19" s="227"/>
    </row>
    <row r="20" spans="2:8">
      <c r="B20" s="227"/>
      <c r="C20" s="227"/>
      <c r="D20" s="227"/>
      <c r="E20" s="227"/>
      <c r="F20" s="227"/>
      <c r="G20" s="227"/>
      <c r="H20" s="227"/>
    </row>
    <row r="21" spans="2:8">
      <c r="B21" s="227"/>
      <c r="C21" s="227"/>
      <c r="D21" s="227"/>
      <c r="E21" s="227"/>
      <c r="F21" s="227"/>
      <c r="G21" s="227"/>
      <c r="H21" s="227"/>
    </row>
    <row r="22" spans="2:8">
      <c r="B22" s="227"/>
      <c r="C22" s="227"/>
      <c r="D22" s="227"/>
      <c r="E22" s="227"/>
      <c r="F22" s="227"/>
      <c r="G22" s="227"/>
      <c r="H22" s="227"/>
    </row>
    <row r="23" spans="2:8">
      <c r="B23" s="227"/>
      <c r="C23" s="227"/>
      <c r="D23" s="227"/>
      <c r="E23" s="227"/>
      <c r="F23" s="227"/>
      <c r="G23" s="227"/>
      <c r="H23" s="227"/>
    </row>
    <row r="24" spans="2:8">
      <c r="B24" s="227"/>
      <c r="C24" s="227"/>
      <c r="D24" s="227"/>
      <c r="E24" s="227"/>
      <c r="F24" s="227"/>
      <c r="G24" s="227"/>
      <c r="H24" s="227"/>
    </row>
    <row r="25" spans="2:8">
      <c r="B25" s="227"/>
      <c r="C25" s="227"/>
      <c r="D25" s="227"/>
      <c r="E25" s="227"/>
      <c r="F25" s="227"/>
      <c r="G25" s="227"/>
      <c r="H25" s="227"/>
    </row>
    <row r="26" spans="2:8" hidden="1">
      <c r="B26" s="227"/>
      <c r="C26" s="227"/>
      <c r="D26" s="227"/>
      <c r="E26" s="227"/>
      <c r="F26" s="227"/>
      <c r="G26" s="227"/>
      <c r="H26" s="227"/>
    </row>
    <row r="27" spans="2:8" hidden="1">
      <c r="B27" s="227"/>
      <c r="C27" s="227"/>
      <c r="D27" s="227"/>
      <c r="E27" s="227"/>
      <c r="F27" s="227"/>
      <c r="G27" s="227"/>
      <c r="H27" s="227"/>
    </row>
    <row r="28" spans="2:8" hidden="1">
      <c r="B28" s="227"/>
      <c r="C28" s="227"/>
      <c r="D28" s="227"/>
      <c r="E28" s="227"/>
      <c r="F28" s="227"/>
      <c r="G28" s="227"/>
      <c r="H28" s="227"/>
    </row>
    <row r="29" spans="2:8" hidden="1">
      <c r="B29" s="227"/>
      <c r="C29" s="227"/>
      <c r="D29" s="227"/>
      <c r="E29" s="227"/>
      <c r="F29" s="227"/>
      <c r="G29" s="227"/>
      <c r="H29" s="227"/>
    </row>
    <row r="30" spans="2:8" hidden="1">
      <c r="B30" s="227"/>
      <c r="C30" s="227"/>
      <c r="D30" s="227"/>
      <c r="E30" s="227"/>
      <c r="F30" s="227"/>
      <c r="G30" s="227"/>
      <c r="H30" s="227"/>
    </row>
    <row r="31" spans="2:8" hidden="1">
      <c r="B31" s="227"/>
      <c r="C31" s="227"/>
      <c r="D31" s="227"/>
      <c r="E31" s="227"/>
      <c r="F31" s="227"/>
      <c r="G31" s="227"/>
      <c r="H31" s="227"/>
    </row>
    <row r="32" spans="2:8" hidden="1">
      <c r="B32" s="227"/>
      <c r="C32" s="227"/>
      <c r="D32" s="227"/>
      <c r="E32" s="227"/>
      <c r="F32" s="227"/>
      <c r="G32" s="227"/>
      <c r="H32" s="227"/>
    </row>
    <row r="33" spans="2:8" hidden="1">
      <c r="B33" s="227"/>
      <c r="C33" s="227"/>
      <c r="D33" s="227"/>
      <c r="E33" s="227"/>
      <c r="F33" s="227"/>
      <c r="G33" s="227"/>
      <c r="H33" s="227"/>
    </row>
    <row r="34" spans="2:8" hidden="1">
      <c r="B34" s="227"/>
      <c r="C34" s="227"/>
      <c r="D34" s="227"/>
      <c r="E34" s="227"/>
      <c r="F34" s="227"/>
      <c r="G34" s="227"/>
      <c r="H34" s="227"/>
    </row>
    <row r="35" spans="2:8" hidden="1">
      <c r="B35" s="227"/>
      <c r="C35" s="227"/>
      <c r="D35" s="227"/>
      <c r="E35" s="227"/>
      <c r="F35" s="227"/>
      <c r="G35" s="227"/>
      <c r="H35" s="227"/>
    </row>
    <row r="36" spans="2:8" hidden="1"/>
    <row r="37" spans="2:8" hidden="1"/>
  </sheetData>
  <mergeCells count="2">
    <mergeCell ref="B7:H35"/>
    <mergeCell ref="B5:H5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tabColor rgb="FFDA0000"/>
    <pageSetUpPr fitToPage="1"/>
  </sheetPr>
  <dimension ref="A1:AK378"/>
  <sheetViews>
    <sheetView showGridLines="0" showRowColHeaders="0" zoomScale="80" zoomScaleNormal="80" workbookViewId="0">
      <pane xSplit="2" ySplit="5" topLeftCell="C84" activePane="bottomRight" state="frozen"/>
      <selection activeCell="E2" sqref="E2:H2"/>
      <selection pane="topRight" activeCell="E2" sqref="E2:H2"/>
      <selection pane="bottomLeft" activeCell="E2" sqref="E2:H2"/>
      <selection pane="bottomRight" activeCell="F106" sqref="F106:G110"/>
    </sheetView>
  </sheetViews>
  <sheetFormatPr defaultColWidth="0" defaultRowHeight="15" customHeight="1" zeroHeight="1"/>
  <cols>
    <col min="1" max="1" width="2.85546875" customWidth="1"/>
    <col min="2" max="2" width="44.28515625" customWidth="1"/>
    <col min="3" max="14" width="17.7109375" customWidth="1"/>
    <col min="15" max="15" width="2.85546875" customWidth="1"/>
    <col min="16" max="28" width="15.7109375" hidden="1" customWidth="1"/>
    <col min="29" max="29" width="2.85546875" hidden="1" customWidth="1"/>
    <col min="30" max="37" width="0" hidden="1" customWidth="1"/>
    <col min="38" max="16384" width="9.140625" hidden="1"/>
  </cols>
  <sheetData>
    <row r="1" spans="2:28" ht="15" customHeight="1"/>
    <row r="2" spans="2:28"/>
    <row r="3" spans="2:28"/>
    <row r="4" spans="2:28"/>
    <row r="5" spans="2:28" ht="31.5">
      <c r="B5" s="7" t="s">
        <v>42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</row>
    <row r="6" spans="2:28"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2:28" ht="21">
      <c r="B7" s="52" t="s">
        <v>43</v>
      </c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</row>
    <row r="8" spans="2:28" ht="15" customHeight="1">
      <c r="B8" s="258" t="s">
        <v>14</v>
      </c>
      <c r="C8" s="259" t="s">
        <v>25</v>
      </c>
      <c r="D8" s="259" t="s">
        <v>26</v>
      </c>
      <c r="E8" s="269" t="s">
        <v>41</v>
      </c>
      <c r="F8" s="260" t="s">
        <v>29</v>
      </c>
      <c r="G8" s="242" t="s">
        <v>45</v>
      </c>
      <c r="H8" s="243"/>
      <c r="I8" s="243"/>
      <c r="J8" s="243"/>
      <c r="K8" s="243"/>
      <c r="L8" s="243"/>
      <c r="M8" s="243"/>
      <c r="N8" s="244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</row>
    <row r="9" spans="2:28" ht="15" customHeight="1">
      <c r="B9" s="258"/>
      <c r="C9" s="259"/>
      <c r="D9" s="259"/>
      <c r="E9" s="269"/>
      <c r="F9" s="261"/>
      <c r="G9" s="245"/>
      <c r="H9" s="246"/>
      <c r="I9" s="246"/>
      <c r="J9" s="246"/>
      <c r="K9" s="246"/>
      <c r="L9" s="246"/>
      <c r="M9" s="246"/>
      <c r="N9" s="247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</row>
    <row r="10" spans="2:28">
      <c r="B10" s="258"/>
      <c r="C10" s="259"/>
      <c r="D10" s="259"/>
      <c r="E10" s="269"/>
      <c r="F10" s="262"/>
      <c r="G10" s="248"/>
      <c r="H10" s="249"/>
      <c r="I10" s="249"/>
      <c r="J10" s="249"/>
      <c r="K10" s="249"/>
      <c r="L10" s="249"/>
      <c r="M10" s="249"/>
      <c r="N10" s="250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</row>
    <row r="11" spans="2:28" ht="65.45" customHeight="1">
      <c r="B11" s="31" t="s">
        <v>15</v>
      </c>
      <c r="C11" s="40">
        <v>50000</v>
      </c>
      <c r="D11" s="40">
        <v>500000</v>
      </c>
      <c r="E11" s="57">
        <v>60</v>
      </c>
      <c r="F11" s="41">
        <v>0.03</v>
      </c>
      <c r="G11" s="251" t="s">
        <v>124</v>
      </c>
      <c r="H11" s="233"/>
      <c r="I11" s="233"/>
      <c r="J11" s="233"/>
      <c r="K11" s="233"/>
      <c r="L11" s="233"/>
      <c r="M11" s="233"/>
      <c r="N11" s="234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</row>
    <row r="12" spans="2:28" ht="63" customHeight="1">
      <c r="B12" s="31" t="s">
        <v>16</v>
      </c>
      <c r="C12" s="40">
        <v>50000</v>
      </c>
      <c r="D12" s="40">
        <v>500000</v>
      </c>
      <c r="E12" s="57">
        <v>60</v>
      </c>
      <c r="F12" s="41">
        <v>0.03</v>
      </c>
      <c r="G12" s="251" t="s">
        <v>125</v>
      </c>
      <c r="H12" s="233"/>
      <c r="I12" s="233"/>
      <c r="J12" s="233"/>
      <c r="K12" s="233"/>
      <c r="L12" s="233"/>
      <c r="M12" s="233"/>
      <c r="N12" s="234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</row>
    <row r="13" spans="2:28" ht="60" customHeight="1">
      <c r="B13" s="31" t="s">
        <v>17</v>
      </c>
      <c r="C13" s="40">
        <v>80000</v>
      </c>
      <c r="D13" s="40">
        <v>750000</v>
      </c>
      <c r="E13" s="57">
        <v>60</v>
      </c>
      <c r="F13" s="41">
        <v>0.03</v>
      </c>
      <c r="G13" s="270" t="s">
        <v>47</v>
      </c>
      <c r="H13" s="233"/>
      <c r="I13" s="233"/>
      <c r="J13" s="233"/>
      <c r="K13" s="233"/>
      <c r="L13" s="233"/>
      <c r="M13" s="233"/>
      <c r="N13" s="234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</row>
    <row r="14" spans="2:28" ht="176.45" customHeight="1">
      <c r="B14" s="31" t="s">
        <v>18</v>
      </c>
      <c r="C14" s="40">
        <v>50000</v>
      </c>
      <c r="D14" s="40">
        <v>300000</v>
      </c>
      <c r="E14" s="57">
        <v>60</v>
      </c>
      <c r="F14" s="41">
        <v>0.01</v>
      </c>
      <c r="G14" s="271" t="s">
        <v>327</v>
      </c>
      <c r="H14" s="233"/>
      <c r="I14" s="233"/>
      <c r="J14" s="233"/>
      <c r="K14" s="233"/>
      <c r="L14" s="233"/>
      <c r="M14" s="233"/>
      <c r="N14" s="234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</row>
    <row r="15" spans="2:28" ht="45" customHeight="1">
      <c r="B15" s="31" t="s">
        <v>19</v>
      </c>
      <c r="C15" s="40">
        <v>20000</v>
      </c>
      <c r="D15" s="40">
        <v>500000</v>
      </c>
      <c r="E15" s="57">
        <v>60</v>
      </c>
      <c r="F15" s="41">
        <v>0.03</v>
      </c>
      <c r="G15" s="241" t="s">
        <v>50</v>
      </c>
      <c r="H15" s="233"/>
      <c r="I15" s="233"/>
      <c r="J15" s="233"/>
      <c r="K15" s="233"/>
      <c r="L15" s="233"/>
      <c r="M15" s="233"/>
      <c r="N15" s="234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</row>
    <row r="16" spans="2:28" ht="90" customHeight="1">
      <c r="B16" s="31" t="s">
        <v>20</v>
      </c>
      <c r="C16" s="40">
        <v>5000</v>
      </c>
      <c r="D16" s="40">
        <v>500000</v>
      </c>
      <c r="E16" s="57">
        <v>60</v>
      </c>
      <c r="F16" s="41">
        <v>0.03</v>
      </c>
      <c r="G16" s="241" t="s">
        <v>51</v>
      </c>
      <c r="H16" s="233"/>
      <c r="I16" s="233"/>
      <c r="J16" s="233"/>
      <c r="K16" s="233"/>
      <c r="L16" s="233"/>
      <c r="M16" s="233"/>
      <c r="N16" s="234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</row>
    <row r="17" spans="2:29" ht="61.15" customHeight="1">
      <c r="B17" s="31" t="s">
        <v>21</v>
      </c>
      <c r="C17" s="40">
        <v>50000</v>
      </c>
      <c r="D17" s="40">
        <v>500000</v>
      </c>
      <c r="E17" s="57">
        <v>84</v>
      </c>
      <c r="F17" s="41">
        <v>0.03</v>
      </c>
      <c r="G17" s="251" t="s">
        <v>125</v>
      </c>
      <c r="H17" s="233"/>
      <c r="I17" s="233"/>
      <c r="J17" s="233"/>
      <c r="K17" s="233"/>
      <c r="L17" s="233"/>
      <c r="M17" s="233"/>
      <c r="N17" s="234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</row>
    <row r="18" spans="2:29" ht="45" customHeight="1">
      <c r="B18" s="31" t="s">
        <v>22</v>
      </c>
      <c r="C18" s="40">
        <v>5000</v>
      </c>
      <c r="D18" s="40">
        <v>500000</v>
      </c>
      <c r="E18" s="57">
        <v>24</v>
      </c>
      <c r="F18" s="41">
        <v>0.01</v>
      </c>
      <c r="G18" s="241" t="s">
        <v>53</v>
      </c>
      <c r="H18" s="233"/>
      <c r="I18" s="233"/>
      <c r="J18" s="233"/>
      <c r="K18" s="233"/>
      <c r="L18" s="233"/>
      <c r="M18" s="233"/>
      <c r="N18" s="234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</row>
    <row r="19" spans="2:29" ht="93" customHeight="1">
      <c r="B19" s="31" t="s">
        <v>23</v>
      </c>
      <c r="C19" s="40">
        <v>500000</v>
      </c>
      <c r="D19" s="40">
        <v>2000000</v>
      </c>
      <c r="E19" s="57">
        <v>84</v>
      </c>
      <c r="F19" s="41">
        <v>0.03</v>
      </c>
      <c r="G19" s="238" t="s">
        <v>425</v>
      </c>
      <c r="H19" s="239"/>
      <c r="I19" s="239"/>
      <c r="J19" s="239"/>
      <c r="K19" s="239"/>
      <c r="L19" s="239"/>
      <c r="M19" s="239"/>
      <c r="N19" s="240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</row>
    <row r="20" spans="2:29" ht="134.44999999999999" customHeight="1">
      <c r="B20" s="31" t="s">
        <v>24</v>
      </c>
      <c r="C20" s="40">
        <v>50000</v>
      </c>
      <c r="D20" s="40">
        <v>500000</v>
      </c>
      <c r="E20" s="57">
        <v>24</v>
      </c>
      <c r="F20" s="41">
        <v>0.01</v>
      </c>
      <c r="G20" s="241" t="s">
        <v>55</v>
      </c>
      <c r="H20" s="233"/>
      <c r="I20" s="233"/>
      <c r="J20" s="233"/>
      <c r="K20" s="233"/>
      <c r="L20" s="233"/>
      <c r="M20" s="233"/>
      <c r="N20" s="234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</row>
    <row r="21" spans="2:29" ht="64.900000000000006" customHeight="1">
      <c r="B21" s="31" t="s">
        <v>123</v>
      </c>
      <c r="C21" s="40">
        <v>20000</v>
      </c>
      <c r="D21" s="40">
        <v>100000</v>
      </c>
      <c r="E21" s="57">
        <v>60</v>
      </c>
      <c r="F21" s="41">
        <v>0.03</v>
      </c>
      <c r="G21" s="251" t="s">
        <v>124</v>
      </c>
      <c r="H21" s="233"/>
      <c r="I21" s="233"/>
      <c r="J21" s="233"/>
      <c r="K21" s="233"/>
      <c r="L21" s="233"/>
      <c r="M21" s="233"/>
      <c r="N21" s="234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</row>
    <row r="22" spans="2:29" ht="65.45" customHeight="1">
      <c r="B22" s="31" t="s">
        <v>126</v>
      </c>
      <c r="C22" s="40">
        <v>20000</v>
      </c>
      <c r="D22" s="40">
        <v>100000</v>
      </c>
      <c r="E22" s="57">
        <v>60</v>
      </c>
      <c r="F22" s="41">
        <v>0.03</v>
      </c>
      <c r="G22" s="251" t="s">
        <v>125</v>
      </c>
      <c r="H22" s="233"/>
      <c r="I22" s="233"/>
      <c r="J22" s="233"/>
      <c r="K22" s="233"/>
      <c r="L22" s="233"/>
      <c r="M22" s="233"/>
      <c r="N22" s="234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</row>
    <row r="23" spans="2:29" ht="177" customHeight="1">
      <c r="B23" s="31" t="s">
        <v>127</v>
      </c>
      <c r="C23" s="40">
        <v>20000</v>
      </c>
      <c r="D23" s="40">
        <v>100000</v>
      </c>
      <c r="E23" s="57">
        <v>60</v>
      </c>
      <c r="F23" s="41">
        <v>0.01</v>
      </c>
      <c r="G23" s="241" t="s">
        <v>48</v>
      </c>
      <c r="H23" s="233"/>
      <c r="I23" s="233"/>
      <c r="J23" s="233"/>
      <c r="K23" s="233"/>
      <c r="L23" s="233"/>
      <c r="M23" s="233"/>
      <c r="N23" s="234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</row>
    <row r="24" spans="2:29" ht="88.15" customHeight="1">
      <c r="B24" s="61" t="s">
        <v>523</v>
      </c>
      <c r="C24" s="40">
        <v>10000</v>
      </c>
      <c r="D24" s="40">
        <v>50000</v>
      </c>
      <c r="E24" s="57">
        <v>60</v>
      </c>
      <c r="F24" s="62">
        <v>1.4999999999999999E-2</v>
      </c>
      <c r="G24" s="232" t="s">
        <v>524</v>
      </c>
      <c r="H24" s="233"/>
      <c r="I24" s="233"/>
      <c r="J24" s="233"/>
      <c r="K24" s="233"/>
      <c r="L24" s="233"/>
      <c r="M24" s="233"/>
      <c r="N24" s="234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</row>
    <row r="25" spans="2:29">
      <c r="B25" s="58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</row>
    <row r="26" spans="2:29" ht="21">
      <c r="B26" s="52" t="s">
        <v>44</v>
      </c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</row>
    <row r="27" spans="2:29" ht="15" customHeight="1">
      <c r="B27" s="255" t="s">
        <v>14</v>
      </c>
      <c r="C27" s="260" t="s">
        <v>46</v>
      </c>
      <c r="D27" s="235" t="s">
        <v>54</v>
      </c>
      <c r="E27" s="242" t="s">
        <v>45</v>
      </c>
      <c r="F27" s="243"/>
      <c r="G27" s="243"/>
      <c r="H27" s="243"/>
      <c r="I27" s="243"/>
      <c r="J27" s="244"/>
      <c r="K27" s="51"/>
      <c r="L27" s="51"/>
      <c r="M27" s="51"/>
      <c r="N27" s="51"/>
    </row>
    <row r="28" spans="2:29" ht="15" customHeight="1">
      <c r="B28" s="256"/>
      <c r="C28" s="261"/>
      <c r="D28" s="236"/>
      <c r="E28" s="245"/>
      <c r="F28" s="246"/>
      <c r="G28" s="246"/>
      <c r="H28" s="246"/>
      <c r="I28" s="246"/>
      <c r="J28" s="247"/>
      <c r="K28" s="51"/>
      <c r="L28" s="51"/>
      <c r="M28" s="51"/>
      <c r="N28" s="51"/>
    </row>
    <row r="29" spans="2:29" ht="15" customHeight="1">
      <c r="B29" s="257"/>
      <c r="C29" s="262"/>
      <c r="D29" s="237"/>
      <c r="E29" s="248"/>
      <c r="F29" s="249"/>
      <c r="G29" s="249"/>
      <c r="H29" s="249"/>
      <c r="I29" s="249"/>
      <c r="J29" s="250"/>
      <c r="K29" s="51"/>
      <c r="L29" s="51"/>
      <c r="M29" s="51"/>
      <c r="N29" s="51"/>
    </row>
    <row r="30" spans="2:29" ht="15" customHeight="1">
      <c r="B30" s="263" t="s">
        <v>15</v>
      </c>
      <c r="C30" s="267">
        <v>0.01</v>
      </c>
      <c r="D30" s="57">
        <v>36</v>
      </c>
      <c r="E30" s="229" t="s">
        <v>321</v>
      </c>
      <c r="F30" s="230"/>
      <c r="G30" s="230"/>
      <c r="H30" s="230"/>
      <c r="I30" s="230"/>
      <c r="J30" s="231"/>
      <c r="K30" s="51"/>
      <c r="L30" s="51"/>
      <c r="M30" s="51"/>
      <c r="N30" s="51"/>
    </row>
    <row r="31" spans="2:29" ht="15" customHeight="1">
      <c r="B31" s="264"/>
      <c r="C31" s="266"/>
      <c r="D31" s="57">
        <v>60</v>
      </c>
      <c r="E31" s="229" t="s">
        <v>325</v>
      </c>
      <c r="F31" s="230"/>
      <c r="G31" s="230"/>
      <c r="H31" s="230"/>
      <c r="I31" s="230"/>
      <c r="J31" s="231"/>
      <c r="K31" s="51"/>
      <c r="L31" s="51"/>
      <c r="M31" s="51"/>
      <c r="N31" s="51"/>
    </row>
    <row r="32" spans="2:29" ht="15" customHeight="1">
      <c r="B32" s="33" t="s">
        <v>16</v>
      </c>
      <c r="C32" s="41">
        <v>0.01</v>
      </c>
      <c r="D32" s="57">
        <v>36</v>
      </c>
      <c r="E32" s="229"/>
      <c r="F32" s="230"/>
      <c r="G32" s="230"/>
      <c r="H32" s="230"/>
      <c r="I32" s="230"/>
      <c r="J32" s="231"/>
      <c r="K32" s="51"/>
      <c r="L32" s="51"/>
      <c r="M32" s="51"/>
      <c r="N32" s="51"/>
    </row>
    <row r="33" spans="2:28" ht="15" customHeight="1">
      <c r="B33" s="33" t="s">
        <v>17</v>
      </c>
      <c r="C33" s="41">
        <v>0.01</v>
      </c>
      <c r="D33" s="57">
        <v>36</v>
      </c>
      <c r="E33" s="229"/>
      <c r="F33" s="230"/>
      <c r="G33" s="230"/>
      <c r="H33" s="230"/>
      <c r="I33" s="230"/>
      <c r="J33" s="231"/>
      <c r="K33" s="51"/>
      <c r="L33" s="51"/>
      <c r="M33" s="51"/>
      <c r="N33" s="51"/>
    </row>
    <row r="34" spans="2:28" ht="15" customHeight="1">
      <c r="B34" s="33" t="s">
        <v>18</v>
      </c>
      <c r="C34" s="41">
        <v>0.01</v>
      </c>
      <c r="D34" s="57">
        <v>60</v>
      </c>
      <c r="E34" s="229"/>
      <c r="F34" s="230"/>
      <c r="G34" s="230"/>
      <c r="H34" s="230"/>
      <c r="I34" s="230"/>
      <c r="J34" s="231"/>
      <c r="K34" s="51"/>
      <c r="L34" s="51"/>
      <c r="M34" s="51"/>
      <c r="N34" s="51"/>
    </row>
    <row r="35" spans="2:28" ht="15" customHeight="1">
      <c r="B35" s="33" t="s">
        <v>19</v>
      </c>
      <c r="C35" s="41">
        <v>0.01</v>
      </c>
      <c r="D35" s="57">
        <v>60</v>
      </c>
      <c r="E35" s="229" t="s">
        <v>49</v>
      </c>
      <c r="F35" s="230"/>
      <c r="G35" s="230"/>
      <c r="H35" s="230"/>
      <c r="I35" s="230"/>
      <c r="J35" s="231"/>
      <c r="K35" s="51"/>
      <c r="L35" s="51"/>
      <c r="M35" s="51"/>
      <c r="N35" s="51"/>
    </row>
    <row r="36" spans="2:28" ht="15" customHeight="1">
      <c r="B36" s="33" t="s">
        <v>20</v>
      </c>
      <c r="C36" s="41">
        <v>0.01</v>
      </c>
      <c r="D36" s="57">
        <v>60</v>
      </c>
      <c r="E36" s="229" t="s">
        <v>52</v>
      </c>
      <c r="F36" s="230"/>
      <c r="G36" s="230"/>
      <c r="H36" s="230"/>
      <c r="I36" s="230"/>
      <c r="J36" s="231"/>
      <c r="K36" s="51"/>
      <c r="L36" s="51"/>
      <c r="M36" s="51"/>
      <c r="N36" s="51"/>
    </row>
    <row r="37" spans="2:28" ht="15" customHeight="1">
      <c r="B37" s="33" t="s">
        <v>21</v>
      </c>
      <c r="C37" s="41">
        <v>0.01</v>
      </c>
      <c r="D37" s="57">
        <v>36</v>
      </c>
      <c r="E37" s="229"/>
      <c r="F37" s="230"/>
      <c r="G37" s="230"/>
      <c r="H37" s="230"/>
      <c r="I37" s="230"/>
      <c r="J37" s="231"/>
      <c r="K37" s="51"/>
      <c r="L37" s="51"/>
      <c r="M37" s="51"/>
      <c r="N37" s="51"/>
    </row>
    <row r="38" spans="2:28" ht="15" customHeight="1">
      <c r="B38" s="33" t="s">
        <v>22</v>
      </c>
      <c r="C38" s="41">
        <v>0.01</v>
      </c>
      <c r="D38" s="57">
        <v>24</v>
      </c>
      <c r="E38" s="229"/>
      <c r="F38" s="230"/>
      <c r="G38" s="230"/>
      <c r="H38" s="230"/>
      <c r="I38" s="230"/>
      <c r="J38" s="231"/>
      <c r="K38" s="51"/>
      <c r="L38" s="51"/>
      <c r="M38" s="51"/>
      <c r="N38" s="51"/>
    </row>
    <row r="39" spans="2:28" ht="15" customHeight="1">
      <c r="B39" s="33" t="s">
        <v>23</v>
      </c>
      <c r="C39" s="41">
        <v>0.01</v>
      </c>
      <c r="D39" s="57">
        <v>84</v>
      </c>
      <c r="E39" s="229" t="s">
        <v>322</v>
      </c>
      <c r="F39" s="230"/>
      <c r="G39" s="230"/>
      <c r="H39" s="230"/>
      <c r="I39" s="230"/>
      <c r="J39" s="231"/>
      <c r="K39" s="51"/>
      <c r="L39" s="51"/>
      <c r="M39" s="51"/>
      <c r="N39" s="51"/>
    </row>
    <row r="40" spans="2:28" ht="15" customHeight="1">
      <c r="B40" s="33" t="s">
        <v>24</v>
      </c>
      <c r="C40" s="41">
        <v>0.01</v>
      </c>
      <c r="D40" s="57">
        <v>24</v>
      </c>
      <c r="E40" s="229"/>
      <c r="F40" s="230"/>
      <c r="G40" s="230"/>
      <c r="H40" s="230"/>
      <c r="I40" s="230"/>
      <c r="J40" s="231"/>
      <c r="K40" s="51"/>
      <c r="L40" s="51"/>
      <c r="M40" s="51"/>
      <c r="N40" s="51"/>
    </row>
    <row r="41" spans="2:28" ht="15" customHeight="1">
      <c r="B41" s="268" t="s">
        <v>123</v>
      </c>
      <c r="C41" s="265">
        <v>0.01</v>
      </c>
      <c r="D41" s="57">
        <v>36</v>
      </c>
      <c r="E41" s="229" t="s">
        <v>321</v>
      </c>
      <c r="F41" s="230"/>
      <c r="G41" s="230"/>
      <c r="H41" s="230"/>
      <c r="I41" s="230"/>
      <c r="J41" s="231"/>
      <c r="K41" s="51"/>
      <c r="L41" s="51"/>
      <c r="M41" s="51"/>
      <c r="N41" s="51"/>
    </row>
    <row r="42" spans="2:28" ht="15" customHeight="1">
      <c r="B42" s="264"/>
      <c r="C42" s="266"/>
      <c r="D42" s="57">
        <v>60</v>
      </c>
      <c r="E42" s="229" t="s">
        <v>325</v>
      </c>
      <c r="F42" s="230"/>
      <c r="G42" s="230"/>
      <c r="H42" s="230"/>
      <c r="I42" s="230"/>
      <c r="J42" s="231"/>
      <c r="K42" s="51"/>
      <c r="L42" s="51"/>
      <c r="M42" s="51"/>
      <c r="N42" s="51"/>
    </row>
    <row r="43" spans="2:28" ht="15" customHeight="1">
      <c r="B43" s="33" t="s">
        <v>126</v>
      </c>
      <c r="C43" s="41">
        <v>0.01</v>
      </c>
      <c r="D43" s="57">
        <v>36</v>
      </c>
      <c r="E43" s="229"/>
      <c r="F43" s="230"/>
      <c r="G43" s="230"/>
      <c r="H43" s="230"/>
      <c r="I43" s="230"/>
      <c r="J43" s="231"/>
      <c r="K43" s="51"/>
      <c r="L43" s="51"/>
      <c r="M43" s="51"/>
      <c r="N43" s="51"/>
    </row>
    <row r="44" spans="2:28" ht="15" customHeight="1">
      <c r="B44" s="33" t="s">
        <v>127</v>
      </c>
      <c r="C44" s="41">
        <v>0.01</v>
      </c>
      <c r="D44" s="57">
        <v>60</v>
      </c>
      <c r="E44" s="229"/>
      <c r="F44" s="230"/>
      <c r="G44" s="230"/>
      <c r="H44" s="230"/>
      <c r="I44" s="230"/>
      <c r="J44" s="231"/>
      <c r="K44" s="51"/>
      <c r="L44" s="51"/>
      <c r="M44" s="51"/>
      <c r="N44" s="51"/>
    </row>
    <row r="45" spans="2:28" ht="15" customHeight="1">
      <c r="B45" s="268" t="s">
        <v>323</v>
      </c>
      <c r="C45" s="265">
        <v>0.01</v>
      </c>
      <c r="D45" s="57">
        <v>36</v>
      </c>
      <c r="E45" s="229" t="s">
        <v>324</v>
      </c>
      <c r="F45" s="230"/>
      <c r="G45" s="230"/>
      <c r="H45" s="230"/>
      <c r="I45" s="230"/>
      <c r="J45" s="231"/>
      <c r="K45" s="51"/>
      <c r="L45" s="51"/>
      <c r="M45" s="51"/>
      <c r="N45" s="51"/>
    </row>
    <row r="46" spans="2:28" ht="15" customHeight="1">
      <c r="B46" s="264"/>
      <c r="C46" s="266"/>
      <c r="D46" s="57">
        <v>36</v>
      </c>
      <c r="E46" s="229" t="s">
        <v>325</v>
      </c>
      <c r="F46" s="230"/>
      <c r="G46" s="230"/>
      <c r="H46" s="230"/>
      <c r="I46" s="230"/>
      <c r="J46" s="231"/>
      <c r="K46" s="51"/>
      <c r="L46" s="51"/>
      <c r="M46" s="51"/>
      <c r="N46" s="51"/>
    </row>
    <row r="47" spans="2:28" ht="15" customHeight="1">
      <c r="B47" s="51"/>
      <c r="C47" s="51"/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</row>
    <row r="48" spans="2:28" ht="21">
      <c r="B48" s="52" t="s">
        <v>58</v>
      </c>
      <c r="C48" s="53"/>
      <c r="D48" s="53"/>
      <c r="E48" s="53"/>
      <c r="F48" s="53"/>
      <c r="G48" s="53"/>
      <c r="H48" s="53"/>
      <c r="I48" s="53"/>
      <c r="J48" s="53"/>
      <c r="K48" s="53"/>
      <c r="L48" s="53"/>
      <c r="M48" s="53"/>
      <c r="N48" s="53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</row>
    <row r="49" spans="2:14" ht="15" customHeight="1">
      <c r="B49" s="255" t="s">
        <v>14</v>
      </c>
      <c r="C49" s="252" t="s">
        <v>56</v>
      </c>
      <c r="D49" s="252" t="s">
        <v>57</v>
      </c>
      <c r="E49" s="252" t="s">
        <v>129</v>
      </c>
      <c r="F49" s="235" t="s">
        <v>128</v>
      </c>
      <c r="G49" s="51"/>
      <c r="H49" s="51"/>
      <c r="I49" s="51"/>
      <c r="J49" s="51"/>
      <c r="K49" s="51"/>
      <c r="L49" s="51"/>
      <c r="M49" s="51"/>
      <c r="N49" s="51"/>
    </row>
    <row r="50" spans="2:14" ht="15" customHeight="1">
      <c r="B50" s="256"/>
      <c r="C50" s="253"/>
      <c r="D50" s="253"/>
      <c r="E50" s="253"/>
      <c r="F50" s="236"/>
      <c r="G50" s="51"/>
      <c r="H50" s="51"/>
      <c r="I50" s="51"/>
      <c r="J50" s="51"/>
      <c r="K50" s="51"/>
      <c r="L50" s="51"/>
      <c r="M50" s="51"/>
      <c r="N50" s="51"/>
    </row>
    <row r="51" spans="2:14" ht="15" customHeight="1">
      <c r="B51" s="257"/>
      <c r="C51" s="254"/>
      <c r="D51" s="254"/>
      <c r="E51" s="254"/>
      <c r="F51" s="237"/>
      <c r="G51" s="51"/>
      <c r="H51" s="51"/>
      <c r="I51" s="51"/>
      <c r="J51" s="51"/>
      <c r="K51" s="51"/>
      <c r="L51" s="51"/>
      <c r="M51" s="51"/>
      <c r="N51" s="51"/>
    </row>
    <row r="52" spans="2:14" ht="15" customHeight="1">
      <c r="B52" s="33" t="s">
        <v>15</v>
      </c>
      <c r="C52" s="41">
        <v>0.5</v>
      </c>
      <c r="D52" s="41">
        <v>0.15</v>
      </c>
      <c r="E52" s="40">
        <f t="shared" ref="E52:E65" si="0">C11/(1-C52)</f>
        <v>100000</v>
      </c>
      <c r="F52" s="40">
        <f t="shared" ref="F52:F65" si="1">C11*D52</f>
        <v>7500</v>
      </c>
      <c r="G52" s="51"/>
      <c r="H52" s="51"/>
      <c r="I52" s="51"/>
      <c r="J52" s="51"/>
      <c r="K52" s="51"/>
      <c r="L52" s="51"/>
      <c r="M52" s="51"/>
      <c r="N52" s="51"/>
    </row>
    <row r="53" spans="2:14" ht="15" customHeight="1">
      <c r="B53" s="33" t="s">
        <v>16</v>
      </c>
      <c r="C53" s="41">
        <v>0.2</v>
      </c>
      <c r="D53" s="41">
        <v>0</v>
      </c>
      <c r="E53" s="40">
        <f t="shared" si="0"/>
        <v>62500</v>
      </c>
      <c r="F53" s="40">
        <f t="shared" si="1"/>
        <v>0</v>
      </c>
      <c r="G53" s="51"/>
      <c r="H53" s="51"/>
      <c r="I53" s="51"/>
      <c r="J53" s="51"/>
      <c r="K53" s="51"/>
      <c r="L53" s="51"/>
      <c r="M53" s="51"/>
      <c r="N53" s="51"/>
    </row>
    <row r="54" spans="2:14" ht="15" customHeight="1">
      <c r="B54" s="33" t="s">
        <v>17</v>
      </c>
      <c r="C54" s="41">
        <v>0.2</v>
      </c>
      <c r="D54" s="41">
        <v>0</v>
      </c>
      <c r="E54" s="40">
        <f t="shared" si="0"/>
        <v>100000</v>
      </c>
      <c r="F54" s="40">
        <f t="shared" si="1"/>
        <v>0</v>
      </c>
      <c r="G54" s="51"/>
      <c r="H54" s="51"/>
      <c r="I54" s="51"/>
      <c r="J54" s="51"/>
      <c r="K54" s="51"/>
      <c r="L54" s="51"/>
      <c r="M54" s="51"/>
      <c r="N54" s="51"/>
    </row>
    <row r="55" spans="2:14" ht="15" customHeight="1">
      <c r="B55" s="33" t="s">
        <v>18</v>
      </c>
      <c r="C55" s="41">
        <v>0.2</v>
      </c>
      <c r="D55" s="41">
        <v>0</v>
      </c>
      <c r="E55" s="40">
        <f t="shared" si="0"/>
        <v>62500</v>
      </c>
      <c r="F55" s="40">
        <f t="shared" si="1"/>
        <v>0</v>
      </c>
      <c r="G55" s="51"/>
      <c r="H55" s="51"/>
      <c r="I55" s="51"/>
      <c r="J55" s="51"/>
      <c r="K55" s="51"/>
      <c r="L55" s="51"/>
      <c r="M55" s="51"/>
      <c r="N55" s="51"/>
    </row>
    <row r="56" spans="2:14" ht="15" customHeight="1">
      <c r="B56" s="33" t="s">
        <v>19</v>
      </c>
      <c r="C56" s="41">
        <v>0.2</v>
      </c>
      <c r="D56" s="41">
        <v>0</v>
      </c>
      <c r="E56" s="40">
        <f t="shared" si="0"/>
        <v>25000</v>
      </c>
      <c r="F56" s="40">
        <f t="shared" si="1"/>
        <v>0</v>
      </c>
      <c r="G56" s="51"/>
      <c r="H56" s="51"/>
      <c r="I56" s="51"/>
      <c r="J56" s="51"/>
      <c r="K56" s="51"/>
      <c r="L56" s="51"/>
      <c r="M56" s="51"/>
      <c r="N56" s="51"/>
    </row>
    <row r="57" spans="2:14" ht="15" customHeight="1">
      <c r="B57" s="33" t="s">
        <v>59</v>
      </c>
      <c r="C57" s="41">
        <v>0.75</v>
      </c>
      <c r="D57" s="41">
        <v>0</v>
      </c>
      <c r="E57" s="40">
        <f t="shared" si="0"/>
        <v>20000</v>
      </c>
      <c r="F57" s="40">
        <f t="shared" si="1"/>
        <v>0</v>
      </c>
      <c r="G57" s="51"/>
      <c r="H57" s="51"/>
      <c r="I57" s="51"/>
      <c r="J57" s="51"/>
      <c r="K57" s="51"/>
      <c r="L57" s="51"/>
      <c r="M57" s="51"/>
      <c r="N57" s="51"/>
    </row>
    <row r="58" spans="2:14" ht="15" customHeight="1">
      <c r="B58" s="33" t="s">
        <v>21</v>
      </c>
      <c r="C58" s="41">
        <v>0.2</v>
      </c>
      <c r="D58" s="41">
        <v>0</v>
      </c>
      <c r="E58" s="40">
        <f t="shared" si="0"/>
        <v>62500</v>
      </c>
      <c r="F58" s="40">
        <f t="shared" si="1"/>
        <v>0</v>
      </c>
      <c r="G58" s="51"/>
      <c r="H58" s="51"/>
      <c r="I58" s="51"/>
      <c r="J58" s="51"/>
      <c r="K58" s="51"/>
      <c r="L58" s="51"/>
      <c r="M58" s="51"/>
      <c r="N58" s="51"/>
    </row>
    <row r="59" spans="2:14" ht="15" customHeight="1">
      <c r="B59" s="33" t="s">
        <v>22</v>
      </c>
      <c r="C59" s="41">
        <v>0</v>
      </c>
      <c r="D59" s="41">
        <v>0</v>
      </c>
      <c r="E59" s="40">
        <f t="shared" si="0"/>
        <v>5000</v>
      </c>
      <c r="F59" s="40">
        <f t="shared" si="1"/>
        <v>0</v>
      </c>
      <c r="G59" s="51"/>
      <c r="H59" s="51"/>
      <c r="I59" s="51"/>
      <c r="J59" s="51"/>
      <c r="K59" s="51"/>
      <c r="L59" s="51"/>
      <c r="M59" s="51"/>
      <c r="N59" s="51"/>
    </row>
    <row r="60" spans="2:14" ht="15" customHeight="1">
      <c r="B60" s="33" t="s">
        <v>23</v>
      </c>
      <c r="C60" s="41">
        <v>0.2</v>
      </c>
      <c r="D60" s="41">
        <v>0</v>
      </c>
      <c r="E60" s="40">
        <f t="shared" si="0"/>
        <v>625000</v>
      </c>
      <c r="F60" s="40">
        <f t="shared" si="1"/>
        <v>0</v>
      </c>
      <c r="G60" s="51"/>
      <c r="H60" s="51"/>
      <c r="I60" s="51"/>
      <c r="J60" s="51"/>
      <c r="K60" s="51"/>
      <c r="L60" s="51"/>
      <c r="M60" s="51"/>
      <c r="N60" s="51"/>
    </row>
    <row r="61" spans="2:14" ht="15" customHeight="1">
      <c r="B61" s="33" t="s">
        <v>24</v>
      </c>
      <c r="C61" s="41">
        <v>0</v>
      </c>
      <c r="D61" s="41">
        <v>0</v>
      </c>
      <c r="E61" s="40">
        <f t="shared" si="0"/>
        <v>50000</v>
      </c>
      <c r="F61" s="40">
        <f t="shared" si="1"/>
        <v>0</v>
      </c>
      <c r="G61" s="51"/>
      <c r="H61" s="51"/>
      <c r="I61" s="51"/>
      <c r="J61" s="51"/>
      <c r="K61" s="51"/>
      <c r="L61" s="51"/>
      <c r="M61" s="51"/>
      <c r="N61" s="51"/>
    </row>
    <row r="62" spans="2:14" ht="15" customHeight="1">
      <c r="B62" s="33" t="s">
        <v>123</v>
      </c>
      <c r="C62" s="41">
        <v>0.5</v>
      </c>
      <c r="D62" s="41">
        <v>0.15</v>
      </c>
      <c r="E62" s="40">
        <f t="shared" si="0"/>
        <v>40000</v>
      </c>
      <c r="F62" s="40">
        <f t="shared" si="1"/>
        <v>3000</v>
      </c>
      <c r="G62" s="51"/>
      <c r="H62" s="51"/>
      <c r="I62" s="51"/>
      <c r="J62" s="51"/>
      <c r="K62" s="51"/>
      <c r="L62" s="51"/>
      <c r="M62" s="51"/>
      <c r="N62" s="51"/>
    </row>
    <row r="63" spans="2:14" ht="15" customHeight="1">
      <c r="B63" s="33" t="s">
        <v>126</v>
      </c>
      <c r="C63" s="41">
        <v>0.2</v>
      </c>
      <c r="D63" s="41">
        <v>0</v>
      </c>
      <c r="E63" s="40">
        <f t="shared" si="0"/>
        <v>25000</v>
      </c>
      <c r="F63" s="40">
        <f t="shared" si="1"/>
        <v>0</v>
      </c>
      <c r="G63" s="51"/>
      <c r="H63" s="51"/>
      <c r="I63" s="51"/>
      <c r="J63" s="51"/>
      <c r="K63" s="51"/>
      <c r="L63" s="51"/>
      <c r="M63" s="51"/>
      <c r="N63" s="51"/>
    </row>
    <row r="64" spans="2:14" ht="15" customHeight="1">
      <c r="B64" s="33" t="s">
        <v>127</v>
      </c>
      <c r="C64" s="41">
        <v>0.2</v>
      </c>
      <c r="D64" s="41">
        <v>0</v>
      </c>
      <c r="E64" s="40">
        <f t="shared" si="0"/>
        <v>25000</v>
      </c>
      <c r="F64" s="40">
        <f t="shared" si="1"/>
        <v>0</v>
      </c>
      <c r="G64" s="51"/>
      <c r="H64" s="51"/>
      <c r="I64" s="51"/>
      <c r="J64" s="51"/>
      <c r="K64" s="51"/>
      <c r="L64" s="51"/>
      <c r="M64" s="51"/>
      <c r="N64" s="51"/>
    </row>
    <row r="65" spans="2:28" ht="15" customHeight="1">
      <c r="B65" s="33" t="s">
        <v>523</v>
      </c>
      <c r="C65" s="62">
        <v>0.2</v>
      </c>
      <c r="D65" s="62">
        <v>0</v>
      </c>
      <c r="E65" s="40">
        <f t="shared" si="0"/>
        <v>12500</v>
      </c>
      <c r="F65" s="40">
        <f t="shared" si="1"/>
        <v>0</v>
      </c>
      <c r="G65" s="51"/>
      <c r="H65" s="51"/>
      <c r="I65" s="51"/>
      <c r="J65" s="51"/>
      <c r="K65" s="51"/>
      <c r="L65" s="51"/>
      <c r="M65" s="51"/>
      <c r="N65" s="51"/>
    </row>
    <row r="66" spans="2:28" ht="15" customHeight="1">
      <c r="B66" s="51"/>
      <c r="C66" s="51"/>
      <c r="D66" s="51"/>
      <c r="E66" s="51"/>
      <c r="F66" s="51"/>
      <c r="G66" s="51"/>
      <c r="H66" s="51"/>
      <c r="I66" s="51"/>
      <c r="J66" s="51"/>
      <c r="K66" s="51"/>
      <c r="L66" s="51"/>
      <c r="M66" s="51"/>
      <c r="N66" s="51"/>
    </row>
    <row r="67" spans="2:28">
      <c r="B67" s="51"/>
      <c r="C67" s="51"/>
      <c r="D67" s="51"/>
      <c r="E67" s="51"/>
      <c r="F67" s="53"/>
      <c r="G67" s="53"/>
      <c r="H67" s="53"/>
      <c r="I67" s="53"/>
      <c r="J67" s="53"/>
      <c r="K67" s="53"/>
      <c r="L67" s="53"/>
      <c r="M67" s="53"/>
      <c r="N67" s="53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</row>
    <row r="68" spans="2:28" ht="15" customHeight="1">
      <c r="B68" s="52" t="s">
        <v>329</v>
      </c>
      <c r="C68" s="53"/>
      <c r="D68" s="53"/>
      <c r="E68" s="53"/>
      <c r="F68" s="51"/>
      <c r="G68" s="51"/>
      <c r="H68" s="51"/>
      <c r="I68" s="51"/>
      <c r="J68" s="51"/>
      <c r="K68" s="51"/>
      <c r="L68" s="51"/>
      <c r="M68" s="51"/>
      <c r="N68" s="51"/>
    </row>
    <row r="69" spans="2:28" ht="15" customHeight="1">
      <c r="B69" s="255" t="s">
        <v>14</v>
      </c>
      <c r="C69" s="252" t="s">
        <v>328</v>
      </c>
      <c r="D69" s="51"/>
      <c r="E69" s="51"/>
      <c r="F69" s="51"/>
      <c r="G69" s="51"/>
      <c r="H69" s="51"/>
      <c r="I69" s="51"/>
      <c r="J69" s="51"/>
      <c r="K69" s="51"/>
      <c r="L69" s="51"/>
      <c r="M69" s="51"/>
      <c r="N69" s="51"/>
    </row>
    <row r="70" spans="2:28" ht="15" customHeight="1">
      <c r="B70" s="256"/>
      <c r="C70" s="253"/>
      <c r="D70" s="51"/>
      <c r="E70" s="51"/>
      <c r="F70" s="51"/>
      <c r="G70" s="51"/>
      <c r="H70" s="51"/>
      <c r="I70" s="51"/>
      <c r="J70" s="51"/>
      <c r="K70" s="51"/>
      <c r="L70" s="51"/>
      <c r="M70" s="51"/>
      <c r="N70" s="51"/>
    </row>
    <row r="71" spans="2:28" ht="15" customHeight="1">
      <c r="B71" s="257"/>
      <c r="C71" s="254"/>
      <c r="D71" s="51"/>
      <c r="E71" s="51"/>
      <c r="F71" s="51"/>
      <c r="G71" s="51"/>
      <c r="H71" s="51"/>
      <c r="I71" s="51"/>
      <c r="J71" s="51"/>
      <c r="K71" s="51"/>
      <c r="L71" s="51"/>
      <c r="M71" s="51"/>
      <c r="N71" s="51"/>
    </row>
    <row r="72" spans="2:28" ht="15" customHeight="1">
      <c r="B72" s="33" t="s">
        <v>15</v>
      </c>
      <c r="C72" s="63">
        <v>0.5</v>
      </c>
      <c r="D72" s="51"/>
      <c r="E72" s="51"/>
      <c r="F72" s="51"/>
      <c r="G72" s="51"/>
      <c r="H72" s="51"/>
      <c r="I72" s="51"/>
      <c r="J72" s="51"/>
      <c r="K72" s="51"/>
      <c r="L72" s="51"/>
      <c r="M72" s="51"/>
      <c r="N72" s="51"/>
    </row>
    <row r="73" spans="2:28" ht="15" customHeight="1">
      <c r="B73" s="33" t="s">
        <v>16</v>
      </c>
      <c r="C73" s="63">
        <v>0.3</v>
      </c>
      <c r="D73" s="51"/>
      <c r="E73" s="51"/>
      <c r="F73" s="51"/>
      <c r="G73" s="51"/>
      <c r="H73" s="51"/>
      <c r="I73" s="51"/>
      <c r="J73" s="51"/>
      <c r="K73" s="51"/>
      <c r="L73" s="51"/>
      <c r="M73" s="51"/>
      <c r="N73" s="51"/>
    </row>
    <row r="74" spans="2:28" ht="15" customHeight="1">
      <c r="B74" s="33" t="s">
        <v>17</v>
      </c>
      <c r="C74" s="63">
        <v>0.5</v>
      </c>
      <c r="D74" s="51"/>
      <c r="E74" s="51"/>
      <c r="F74" s="51"/>
      <c r="G74" s="51"/>
      <c r="H74" s="51"/>
      <c r="I74" s="51"/>
      <c r="J74" s="51"/>
      <c r="K74" s="51"/>
      <c r="L74" s="51"/>
      <c r="M74" s="51"/>
      <c r="N74" s="51"/>
    </row>
    <row r="75" spans="2:28">
      <c r="B75" s="33" t="s">
        <v>21</v>
      </c>
      <c r="C75" s="63">
        <v>0.3</v>
      </c>
      <c r="D75" s="51"/>
      <c r="E75" s="51"/>
      <c r="F75" s="53"/>
      <c r="G75" s="53"/>
      <c r="H75" s="53"/>
      <c r="I75" s="53"/>
      <c r="J75" s="53"/>
      <c r="K75" s="53"/>
      <c r="L75" s="53"/>
      <c r="M75" s="53"/>
      <c r="N75" s="53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</row>
    <row r="76" spans="2:28" ht="15" customHeight="1">
      <c r="B76" s="33" t="s">
        <v>123</v>
      </c>
      <c r="C76" s="63">
        <v>0.5</v>
      </c>
      <c r="D76" s="51"/>
      <c r="E76" s="51"/>
      <c r="F76" s="51"/>
      <c r="G76" s="51"/>
      <c r="H76" s="51"/>
      <c r="I76" s="51"/>
      <c r="J76" s="51"/>
      <c r="K76" s="51"/>
      <c r="L76" s="51"/>
      <c r="M76" s="51"/>
      <c r="N76" s="51"/>
    </row>
    <row r="77" spans="2:28" ht="15" customHeight="1">
      <c r="B77" s="33" t="s">
        <v>126</v>
      </c>
      <c r="C77" s="63">
        <v>0.3</v>
      </c>
      <c r="D77" s="51"/>
      <c r="E77" s="51"/>
      <c r="F77" s="51"/>
      <c r="G77" s="51"/>
      <c r="H77" s="51"/>
      <c r="I77" s="51"/>
      <c r="J77" s="51"/>
      <c r="K77" s="51"/>
      <c r="L77" s="51"/>
      <c r="M77" s="51"/>
      <c r="N77" s="51"/>
    </row>
    <row r="78" spans="2:28" ht="15" customHeight="1">
      <c r="B78" s="33" t="s">
        <v>523</v>
      </c>
      <c r="C78" s="63">
        <v>0.3</v>
      </c>
      <c r="D78" s="51"/>
      <c r="E78" s="51"/>
      <c r="F78" s="51"/>
      <c r="G78" s="51"/>
      <c r="H78" s="51"/>
      <c r="I78" s="51"/>
      <c r="J78" s="51"/>
      <c r="K78" s="51"/>
      <c r="L78" s="51"/>
      <c r="M78" s="51"/>
      <c r="N78" s="51"/>
    </row>
    <row r="79" spans="2:28" ht="15" customHeight="1">
      <c r="B79" s="51"/>
      <c r="C79" s="51"/>
      <c r="D79" s="51"/>
      <c r="E79" s="51"/>
      <c r="F79" s="51"/>
      <c r="G79" s="51"/>
      <c r="H79" s="51"/>
      <c r="I79" s="51"/>
      <c r="J79" s="51"/>
      <c r="K79" s="51"/>
      <c r="L79" s="51"/>
      <c r="M79" s="51"/>
      <c r="N79" s="51"/>
    </row>
    <row r="80" spans="2:28" ht="15" customHeight="1">
      <c r="B80" s="51"/>
      <c r="C80" s="51"/>
      <c r="D80" s="51"/>
      <c r="E80" s="51"/>
      <c r="F80" s="51"/>
      <c r="G80" s="51"/>
      <c r="H80" s="51"/>
      <c r="I80" s="51"/>
      <c r="J80" s="51"/>
      <c r="K80" s="51"/>
      <c r="L80" s="51"/>
      <c r="M80" s="51"/>
      <c r="N80" s="51"/>
    </row>
    <row r="81" spans="2:28" ht="15" customHeight="1">
      <c r="B81" s="51"/>
      <c r="C81" s="51"/>
      <c r="D81" s="51"/>
      <c r="E81" s="51"/>
      <c r="F81" s="53"/>
      <c r="G81" s="53"/>
      <c r="H81" s="51"/>
      <c r="I81" s="51"/>
      <c r="J81" s="51"/>
      <c r="K81" s="51"/>
      <c r="L81" s="51"/>
      <c r="M81" s="51"/>
      <c r="N81" s="51"/>
    </row>
    <row r="82" spans="2:28" ht="15" customHeight="1">
      <c r="F82" s="51"/>
      <c r="G82" s="51"/>
      <c r="H82" s="51"/>
      <c r="I82" s="51"/>
      <c r="J82" s="51"/>
      <c r="K82" s="51"/>
      <c r="L82" s="51"/>
      <c r="M82" s="51"/>
      <c r="N82" s="51"/>
    </row>
    <row r="83" spans="2:28" ht="15" customHeight="1">
      <c r="F83" s="51"/>
      <c r="G83" s="51"/>
      <c r="H83" s="51"/>
      <c r="I83" s="51"/>
      <c r="J83" s="51"/>
      <c r="K83" s="51"/>
      <c r="L83" s="51"/>
      <c r="M83" s="51"/>
      <c r="N83" s="51"/>
    </row>
    <row r="84" spans="2:28" ht="15" customHeight="1">
      <c r="F84" s="51"/>
      <c r="G84" s="51"/>
      <c r="H84" s="51"/>
      <c r="I84" s="51"/>
      <c r="J84" s="51"/>
      <c r="K84" s="51"/>
      <c r="L84" s="51"/>
      <c r="M84" s="51"/>
      <c r="N84" s="51"/>
    </row>
    <row r="85" spans="2:28" ht="15" customHeight="1">
      <c r="F85" s="51"/>
      <c r="G85" s="51"/>
      <c r="H85" s="51"/>
      <c r="I85" s="51"/>
      <c r="J85" s="51"/>
      <c r="K85" s="51"/>
      <c r="L85" s="51"/>
      <c r="M85" s="51"/>
      <c r="N85" s="51"/>
    </row>
    <row r="86" spans="2:28" ht="15" customHeight="1">
      <c r="F86" s="51"/>
      <c r="G86" s="51"/>
      <c r="H86" s="51"/>
      <c r="I86" s="51"/>
      <c r="J86" s="51"/>
      <c r="K86" s="51"/>
      <c r="L86" s="51"/>
      <c r="M86" s="51"/>
      <c r="N86" s="51"/>
    </row>
    <row r="87" spans="2:28">
      <c r="F87" s="51"/>
      <c r="G87" s="51"/>
      <c r="H87" s="53"/>
      <c r="I87" s="53"/>
      <c r="J87" s="53"/>
      <c r="K87" s="53"/>
      <c r="L87" s="53"/>
      <c r="M87" s="53"/>
      <c r="N87" s="53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</row>
    <row r="88" spans="2:28" ht="15" customHeight="1">
      <c r="F88" s="51"/>
      <c r="G88" s="51"/>
      <c r="H88" s="51"/>
      <c r="I88" s="51"/>
      <c r="J88" s="51"/>
      <c r="K88" s="51"/>
      <c r="L88" s="51"/>
      <c r="M88" s="51"/>
      <c r="N88" s="51"/>
    </row>
    <row r="89" spans="2:28" ht="15" customHeight="1">
      <c r="F89" s="51"/>
      <c r="G89" s="51"/>
      <c r="H89" s="51"/>
      <c r="I89" s="51"/>
      <c r="J89" s="51"/>
      <c r="K89" s="51"/>
      <c r="L89" s="51"/>
      <c r="M89" s="51"/>
      <c r="N89" s="51"/>
    </row>
    <row r="90" spans="2:28" ht="15" customHeight="1">
      <c r="F90" s="51"/>
      <c r="G90" s="51"/>
      <c r="H90" s="51"/>
      <c r="I90" s="51"/>
      <c r="J90" s="51"/>
      <c r="K90" s="51"/>
      <c r="L90" s="51"/>
      <c r="M90" s="51"/>
      <c r="N90" s="51"/>
    </row>
    <row r="91" spans="2:28" ht="15" customHeight="1">
      <c r="F91" s="51"/>
      <c r="G91" s="51"/>
      <c r="H91" s="51"/>
      <c r="I91" s="51"/>
      <c r="J91" s="51"/>
      <c r="K91" s="51"/>
      <c r="L91" s="51"/>
      <c r="M91" s="51"/>
      <c r="N91" s="51"/>
    </row>
    <row r="92" spans="2:28" ht="15" customHeight="1">
      <c r="F92" s="51"/>
      <c r="G92" s="51"/>
      <c r="H92" s="51"/>
      <c r="I92" s="51"/>
      <c r="J92" s="51"/>
      <c r="K92" s="51"/>
      <c r="L92" s="51"/>
      <c r="M92" s="51"/>
      <c r="N92" s="51"/>
    </row>
    <row r="93" spans="2:28" ht="15" customHeight="1">
      <c r="F93" s="51"/>
      <c r="G93" s="51"/>
      <c r="H93" s="51"/>
      <c r="I93" s="51"/>
      <c r="J93" s="51"/>
      <c r="K93" s="51"/>
      <c r="L93" s="51"/>
      <c r="M93" s="51"/>
      <c r="N93" s="51"/>
    </row>
    <row r="94" spans="2:28" ht="15" customHeight="1">
      <c r="F94" s="51"/>
      <c r="G94" s="51"/>
      <c r="H94" s="51"/>
      <c r="I94" s="51"/>
      <c r="J94" s="51"/>
      <c r="K94" s="51"/>
      <c r="L94" s="51"/>
      <c r="M94" s="51"/>
      <c r="N94" s="51"/>
    </row>
    <row r="95" spans="2:28" ht="15" customHeight="1">
      <c r="F95" s="51"/>
      <c r="G95" s="51"/>
      <c r="H95" s="51"/>
      <c r="I95" s="51"/>
      <c r="J95" s="51"/>
      <c r="K95" s="51"/>
      <c r="L95" s="51"/>
      <c r="M95" s="51"/>
      <c r="N95" s="51"/>
    </row>
    <row r="96" spans="2:28" ht="15" customHeight="1">
      <c r="F96" s="51"/>
      <c r="G96" s="51"/>
      <c r="H96" s="51"/>
      <c r="I96" s="51"/>
      <c r="J96" s="51"/>
      <c r="K96" s="51"/>
      <c r="L96" s="51"/>
      <c r="M96" s="51"/>
      <c r="N96" s="51"/>
    </row>
    <row r="97" spans="6:28" ht="15" customHeight="1">
      <c r="F97" s="51"/>
      <c r="G97" s="51"/>
      <c r="H97" s="51"/>
      <c r="I97" s="51"/>
      <c r="J97" s="51"/>
      <c r="K97" s="51"/>
      <c r="L97" s="51"/>
      <c r="M97" s="51"/>
      <c r="N97" s="51"/>
    </row>
    <row r="98" spans="6:28" ht="15" customHeight="1">
      <c r="F98" s="51"/>
      <c r="G98" s="51"/>
      <c r="H98" s="51"/>
      <c r="I98" s="51"/>
      <c r="J98" s="51"/>
      <c r="K98" s="51"/>
      <c r="L98" s="51"/>
      <c r="M98" s="51"/>
      <c r="N98" s="51"/>
    </row>
    <row r="99" spans="6:28" ht="15" customHeight="1">
      <c r="F99" s="51"/>
      <c r="G99" s="51"/>
      <c r="H99" s="51"/>
      <c r="I99" s="51"/>
      <c r="J99" s="51"/>
      <c r="K99" s="51"/>
      <c r="L99" s="51"/>
      <c r="M99" s="51"/>
      <c r="N99" s="51"/>
    </row>
    <row r="100" spans="6:28" ht="15" customHeight="1">
      <c r="F100" s="51"/>
      <c r="G100" s="51"/>
      <c r="H100" s="51"/>
      <c r="I100" s="51"/>
      <c r="J100" s="51"/>
      <c r="K100" s="51"/>
      <c r="L100" s="51"/>
      <c r="M100" s="51"/>
      <c r="N100" s="51"/>
    </row>
    <row r="101" spans="6:28" ht="15" customHeight="1">
      <c r="F101" s="51"/>
      <c r="G101" s="51"/>
      <c r="H101" s="51"/>
      <c r="I101" s="51"/>
      <c r="J101" s="51"/>
      <c r="K101" s="51"/>
      <c r="L101" s="51"/>
      <c r="M101" s="51"/>
      <c r="N101" s="51"/>
    </row>
    <row r="102" spans="6:28" ht="15" customHeight="1">
      <c r="F102" s="51"/>
      <c r="G102" s="51"/>
      <c r="H102" s="51"/>
      <c r="I102" s="51"/>
      <c r="J102" s="51"/>
      <c r="K102" s="51"/>
      <c r="L102" s="51"/>
      <c r="M102" s="51"/>
      <c r="N102" s="51"/>
    </row>
    <row r="103" spans="6:28" ht="15" customHeight="1">
      <c r="F103" s="51"/>
      <c r="G103" s="51"/>
      <c r="H103" s="51"/>
      <c r="I103" s="51"/>
      <c r="J103" s="51"/>
      <c r="K103" s="51"/>
      <c r="L103" s="51"/>
      <c r="M103" s="51"/>
      <c r="N103" s="51"/>
    </row>
    <row r="104" spans="6:28" ht="15" customHeight="1">
      <c r="F104" s="51"/>
      <c r="G104" s="51"/>
      <c r="H104" s="51"/>
      <c r="I104" s="51"/>
      <c r="J104" s="51"/>
      <c r="K104" s="51"/>
      <c r="L104" s="51"/>
      <c r="M104" s="51"/>
      <c r="N104" s="51"/>
    </row>
    <row r="105" spans="6:28" ht="15" customHeight="1">
      <c r="F105" s="51"/>
      <c r="G105" s="51"/>
      <c r="H105" s="51"/>
      <c r="I105" s="51"/>
      <c r="J105" s="51"/>
      <c r="K105" s="51"/>
      <c r="L105" s="51"/>
      <c r="M105" s="51"/>
      <c r="N105" s="51"/>
    </row>
    <row r="106" spans="6:28" ht="15" customHeight="1">
      <c r="F106" s="51"/>
      <c r="G106" s="51"/>
      <c r="H106" s="51"/>
      <c r="I106" s="51"/>
      <c r="J106" s="51"/>
      <c r="K106" s="51"/>
      <c r="L106" s="51"/>
    </row>
    <row r="107" spans="6:28" ht="15" customHeight="1">
      <c r="F107" s="51"/>
      <c r="G107" s="51"/>
      <c r="H107" s="51"/>
      <c r="I107" s="51"/>
      <c r="J107" s="51"/>
      <c r="K107" s="51"/>
      <c r="L107" s="51"/>
    </row>
    <row r="108" spans="6:28" ht="15" customHeight="1">
      <c r="F108" s="51"/>
      <c r="G108" s="51"/>
      <c r="H108" s="51"/>
      <c r="I108" s="51"/>
      <c r="J108" s="51"/>
      <c r="K108" s="51"/>
      <c r="L108" s="51"/>
    </row>
    <row r="109" spans="6:28" ht="15" customHeight="1">
      <c r="F109" s="51"/>
      <c r="G109" s="51"/>
      <c r="H109" s="51"/>
      <c r="I109" s="51"/>
      <c r="J109" s="51"/>
      <c r="K109" s="51"/>
      <c r="L109" s="51"/>
    </row>
    <row r="110" spans="6:28" ht="15" customHeight="1">
      <c r="F110" s="51"/>
      <c r="G110" s="51"/>
      <c r="H110" s="51"/>
      <c r="I110" s="51"/>
      <c r="J110" s="51"/>
      <c r="K110" s="51"/>
      <c r="L110" s="51"/>
    </row>
    <row r="111" spans="6:28" ht="15" customHeight="1">
      <c r="F111" s="51"/>
      <c r="G111" s="51"/>
      <c r="H111" s="51"/>
      <c r="I111" s="51"/>
      <c r="J111" s="51"/>
      <c r="K111" s="51"/>
      <c r="L111" s="51"/>
      <c r="M111" s="51"/>
      <c r="N111" s="51"/>
    </row>
    <row r="112" spans="6:28" ht="15" customHeight="1"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</row>
    <row r="113" spans="8:28" ht="15" customHeight="1"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</row>
    <row r="114" spans="8:28"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</row>
    <row r="115" spans="8:28"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</row>
    <row r="116" spans="8:28"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</row>
    <row r="117" spans="8:28" ht="15" customHeight="1">
      <c r="H117" s="51"/>
      <c r="I117" s="51"/>
      <c r="J117" s="51"/>
      <c r="K117" s="51"/>
      <c r="L117" s="51"/>
      <c r="M117" s="51"/>
      <c r="N117" s="51"/>
    </row>
    <row r="118" spans="8:28" ht="15" hidden="1" customHeight="1"/>
    <row r="119" spans="8:28" ht="15" hidden="1" customHeight="1"/>
    <row r="120" spans="8:28" ht="15" hidden="1" customHeight="1"/>
    <row r="121" spans="8:28" ht="15" hidden="1" customHeight="1"/>
    <row r="122" spans="8:28" ht="15" hidden="1" customHeight="1"/>
    <row r="123" spans="8:28" ht="15" hidden="1" customHeight="1"/>
    <row r="124" spans="8:28" ht="15" hidden="1" customHeight="1"/>
    <row r="125" spans="8:28" ht="15" hidden="1" customHeight="1"/>
    <row r="126" spans="8:28" ht="15" hidden="1" customHeight="1"/>
    <row r="127" spans="8:28" ht="15" hidden="1" customHeight="1"/>
    <row r="128" spans="8:28" ht="15" hidden="1" customHeight="1"/>
    <row r="129" ht="15" hidden="1" customHeight="1"/>
    <row r="130" ht="15" hidden="1" customHeight="1"/>
    <row r="131" ht="15" hidden="1" customHeight="1"/>
    <row r="132" ht="15" hidden="1" customHeight="1"/>
    <row r="133" ht="15" hidden="1" customHeight="1"/>
    <row r="134" ht="15" hidden="1" customHeight="1"/>
    <row r="135" ht="15" hidden="1" customHeight="1"/>
    <row r="136" ht="15" hidden="1" customHeight="1"/>
    <row r="137" ht="15" hidden="1" customHeight="1"/>
    <row r="138" ht="15" hidden="1" customHeight="1"/>
    <row r="139" ht="15" hidden="1" customHeight="1"/>
    <row r="140" ht="15" hidden="1" customHeight="1"/>
    <row r="141" ht="15" hidden="1" customHeight="1"/>
    <row r="142" ht="15" hidden="1" customHeight="1"/>
    <row r="143" ht="15" hidden="1" customHeight="1"/>
    <row r="144" ht="15" hidden="1" customHeight="1"/>
    <row r="145" ht="15" hidden="1" customHeight="1"/>
    <row r="146" ht="15" hidden="1" customHeight="1"/>
    <row r="147" ht="15" hidden="1" customHeight="1"/>
    <row r="148" ht="15" hidden="1" customHeight="1"/>
    <row r="149" ht="15" hidden="1" customHeight="1"/>
    <row r="150" ht="15" hidden="1" customHeight="1"/>
    <row r="151" ht="15" hidden="1" customHeight="1"/>
    <row r="152" ht="15" hidden="1" customHeight="1"/>
    <row r="153" ht="15" hidden="1" customHeight="1"/>
    <row r="154" ht="15" hidden="1" customHeight="1"/>
    <row r="155" ht="15" hidden="1" customHeight="1"/>
    <row r="156" ht="15" hidden="1" customHeight="1"/>
    <row r="157" ht="15" hidden="1" customHeight="1"/>
    <row r="158" ht="15" hidden="1" customHeight="1"/>
    <row r="159" ht="15" hidden="1" customHeight="1"/>
    <row r="160" ht="15" hidden="1" customHeight="1"/>
    <row r="161" ht="15" hidden="1" customHeight="1"/>
    <row r="162" ht="15" hidden="1" customHeight="1"/>
    <row r="163" ht="15" hidden="1" customHeight="1"/>
    <row r="164" ht="15" hidden="1" customHeight="1"/>
    <row r="165" ht="15" hidden="1" customHeight="1"/>
    <row r="166" ht="15" hidden="1" customHeight="1"/>
    <row r="167" ht="15" hidden="1" customHeight="1"/>
    <row r="168" ht="15" hidden="1" customHeight="1"/>
    <row r="169" ht="15" hidden="1" customHeight="1"/>
    <row r="170" ht="15" hidden="1" customHeight="1"/>
    <row r="171" ht="15" hidden="1" customHeight="1"/>
    <row r="172" ht="15" hidden="1" customHeight="1"/>
    <row r="173" ht="15" hidden="1" customHeight="1"/>
    <row r="174" ht="15" hidden="1" customHeight="1"/>
    <row r="175" ht="15" hidden="1" customHeight="1"/>
    <row r="176" ht="15" hidden="1" customHeight="1"/>
    <row r="177" ht="15" hidden="1" customHeight="1"/>
    <row r="178" ht="15" hidden="1" customHeight="1"/>
    <row r="179" ht="15" hidden="1" customHeight="1"/>
    <row r="180" ht="15" hidden="1" customHeight="1"/>
    <row r="181" ht="15" hidden="1" customHeight="1"/>
    <row r="182" ht="15" hidden="1" customHeight="1"/>
    <row r="183" ht="15" hidden="1" customHeight="1"/>
    <row r="184" ht="15" hidden="1" customHeight="1"/>
    <row r="185" ht="15" hidden="1" customHeight="1"/>
    <row r="186" ht="15" hidden="1" customHeight="1"/>
    <row r="187" ht="15" hidden="1" customHeight="1"/>
    <row r="188" ht="15" hidden="1" customHeight="1"/>
    <row r="189" ht="15" hidden="1" customHeight="1"/>
    <row r="190" ht="15" hidden="1" customHeight="1"/>
    <row r="191" ht="15" hidden="1" customHeight="1"/>
    <row r="192" ht="15" hidden="1" customHeight="1"/>
    <row r="193" ht="15" hidden="1" customHeight="1"/>
    <row r="194" ht="15" hidden="1" customHeight="1"/>
    <row r="195" ht="15" hidden="1" customHeight="1"/>
    <row r="196" ht="15" hidden="1" customHeight="1"/>
    <row r="197" ht="15" hidden="1" customHeight="1"/>
    <row r="198" ht="15" hidden="1" customHeight="1"/>
    <row r="199" ht="15" hidden="1" customHeight="1"/>
    <row r="200" ht="15" hidden="1" customHeight="1"/>
    <row r="201" ht="15" hidden="1" customHeight="1"/>
    <row r="202" ht="15" hidden="1" customHeight="1"/>
    <row r="203" ht="15" hidden="1" customHeight="1"/>
    <row r="204" ht="15" hidden="1" customHeight="1"/>
    <row r="205" ht="15" hidden="1" customHeight="1"/>
    <row r="206" ht="15" hidden="1" customHeight="1"/>
    <row r="207" ht="15" hidden="1" customHeight="1"/>
    <row r="208" ht="15" hidden="1" customHeight="1"/>
    <row r="209" ht="15" hidden="1" customHeight="1"/>
    <row r="210" ht="15" hidden="1" customHeight="1"/>
    <row r="211" ht="15" hidden="1" customHeight="1"/>
    <row r="212" ht="15" hidden="1" customHeight="1"/>
    <row r="213" ht="15" hidden="1" customHeight="1"/>
    <row r="214" ht="15" hidden="1" customHeight="1"/>
    <row r="215" ht="15" hidden="1" customHeight="1"/>
    <row r="216" ht="15" hidden="1" customHeight="1"/>
    <row r="217" ht="15" hidden="1" customHeight="1"/>
    <row r="218" ht="15" hidden="1" customHeight="1"/>
    <row r="219" ht="15" hidden="1" customHeight="1"/>
    <row r="220" ht="15" hidden="1" customHeight="1"/>
    <row r="221" ht="15" hidden="1" customHeight="1"/>
    <row r="222" ht="15" hidden="1" customHeight="1"/>
    <row r="223" ht="15" hidden="1" customHeight="1"/>
    <row r="224" ht="15" hidden="1" customHeight="1"/>
    <row r="225" ht="15" hidden="1" customHeight="1"/>
    <row r="226" ht="15" hidden="1" customHeight="1"/>
    <row r="227" ht="15" hidden="1" customHeight="1"/>
    <row r="228" ht="15" hidden="1" customHeight="1"/>
    <row r="229" ht="15" hidden="1" customHeight="1"/>
    <row r="230" ht="15" hidden="1" customHeight="1"/>
    <row r="231" ht="15" hidden="1" customHeight="1"/>
    <row r="232" ht="15" hidden="1" customHeight="1"/>
    <row r="233" ht="15" hidden="1" customHeight="1"/>
    <row r="234" ht="15" hidden="1" customHeight="1"/>
    <row r="235" ht="15" hidden="1" customHeight="1"/>
    <row r="236" ht="15" hidden="1" customHeight="1"/>
    <row r="237" ht="15" hidden="1" customHeight="1"/>
    <row r="238" ht="15" hidden="1" customHeight="1"/>
    <row r="239" ht="15" hidden="1" customHeight="1"/>
    <row r="240" ht="15" hidden="1" customHeight="1"/>
    <row r="241" ht="15" hidden="1" customHeight="1"/>
    <row r="242" ht="15" hidden="1" customHeight="1"/>
    <row r="243" ht="15" hidden="1" customHeight="1"/>
    <row r="244" ht="15" hidden="1" customHeight="1"/>
    <row r="245" ht="15" hidden="1" customHeight="1"/>
    <row r="246" ht="15" hidden="1" customHeight="1"/>
    <row r="247" ht="15" hidden="1" customHeight="1"/>
    <row r="248" ht="15" hidden="1" customHeight="1"/>
    <row r="249" ht="15" hidden="1" customHeight="1"/>
    <row r="250" ht="15" hidden="1" customHeight="1"/>
    <row r="251" ht="15" hidden="1" customHeight="1"/>
    <row r="252" ht="15" hidden="1" customHeight="1"/>
    <row r="253" ht="15" hidden="1" customHeight="1"/>
    <row r="254" ht="15" hidden="1" customHeight="1"/>
    <row r="255" ht="15" hidden="1" customHeight="1"/>
    <row r="256" ht="15" hidden="1" customHeight="1"/>
    <row r="257" ht="15" hidden="1" customHeight="1"/>
    <row r="258" ht="15" hidden="1" customHeight="1"/>
    <row r="259" ht="15" hidden="1" customHeight="1"/>
    <row r="260" ht="15" hidden="1" customHeight="1"/>
    <row r="261" ht="15" hidden="1" customHeight="1"/>
    <row r="262" ht="15" hidden="1" customHeight="1"/>
    <row r="263" ht="15" hidden="1" customHeight="1"/>
    <row r="264" ht="15" hidden="1" customHeight="1"/>
    <row r="265" ht="15" hidden="1" customHeight="1"/>
    <row r="266" ht="15" hidden="1" customHeight="1"/>
    <row r="267" ht="15" hidden="1" customHeight="1"/>
    <row r="268" ht="15" hidden="1" customHeight="1"/>
    <row r="269" ht="15" hidden="1" customHeight="1"/>
    <row r="270" ht="15" hidden="1" customHeight="1"/>
    <row r="271" ht="15" hidden="1" customHeight="1"/>
    <row r="272" ht="15" hidden="1" customHeight="1"/>
    <row r="273" ht="15" hidden="1" customHeight="1"/>
    <row r="274" ht="15" hidden="1" customHeight="1"/>
    <row r="275" ht="15" hidden="1" customHeight="1"/>
    <row r="276" ht="15" hidden="1" customHeight="1"/>
    <row r="277" ht="15" hidden="1" customHeight="1"/>
    <row r="278" ht="15" hidden="1" customHeight="1"/>
    <row r="279" ht="15" hidden="1" customHeight="1"/>
    <row r="280" ht="15" hidden="1" customHeight="1"/>
    <row r="281" ht="15" hidden="1" customHeight="1"/>
    <row r="282" ht="15" hidden="1" customHeight="1"/>
    <row r="283" ht="15" hidden="1" customHeight="1"/>
    <row r="284" ht="15" hidden="1" customHeight="1"/>
    <row r="285" ht="15" hidden="1" customHeight="1"/>
    <row r="286" ht="15" hidden="1" customHeight="1"/>
    <row r="287" ht="15" hidden="1" customHeight="1"/>
    <row r="288" ht="15" hidden="1" customHeight="1"/>
    <row r="289" ht="15" hidden="1" customHeight="1"/>
    <row r="290" ht="15" hidden="1" customHeight="1"/>
    <row r="291" ht="15" hidden="1" customHeight="1"/>
    <row r="292" ht="15" hidden="1" customHeight="1"/>
    <row r="293" ht="15" hidden="1" customHeight="1"/>
    <row r="294" ht="15" hidden="1" customHeight="1"/>
    <row r="295" ht="15" hidden="1" customHeight="1"/>
    <row r="296" ht="15" hidden="1" customHeight="1"/>
    <row r="297" ht="15" hidden="1" customHeight="1"/>
    <row r="298" ht="15" hidden="1" customHeight="1"/>
    <row r="299" ht="15" hidden="1" customHeight="1"/>
    <row r="300" ht="15" hidden="1" customHeight="1"/>
    <row r="301" ht="15" hidden="1" customHeight="1"/>
    <row r="302" ht="15" hidden="1" customHeight="1"/>
    <row r="303" ht="15" hidden="1" customHeight="1"/>
    <row r="304" ht="15" hidden="1" customHeight="1"/>
    <row r="305" ht="15" hidden="1" customHeight="1"/>
    <row r="306" ht="15" hidden="1" customHeight="1"/>
    <row r="307" ht="15" hidden="1" customHeight="1"/>
    <row r="308" ht="15" hidden="1" customHeight="1"/>
    <row r="309" ht="15" hidden="1" customHeight="1"/>
    <row r="310" ht="15" hidden="1" customHeight="1"/>
    <row r="311" ht="15" hidden="1" customHeight="1"/>
    <row r="312" ht="15" hidden="1" customHeight="1"/>
    <row r="313" ht="15" hidden="1" customHeight="1"/>
    <row r="314" ht="15" hidden="1" customHeight="1"/>
    <row r="315" ht="15" hidden="1" customHeight="1"/>
    <row r="316" ht="15" hidden="1" customHeight="1"/>
    <row r="317" ht="15" hidden="1" customHeight="1"/>
    <row r="318" ht="15" hidden="1" customHeight="1"/>
    <row r="319" ht="15" hidden="1" customHeight="1"/>
    <row r="320" ht="15" hidden="1" customHeight="1"/>
    <row r="321" ht="15" hidden="1" customHeight="1"/>
    <row r="322" ht="15" hidden="1" customHeight="1"/>
    <row r="323" ht="15" hidden="1" customHeight="1"/>
    <row r="324" ht="15" hidden="1" customHeight="1"/>
    <row r="325" ht="15" hidden="1" customHeight="1"/>
    <row r="326" ht="15" hidden="1" customHeight="1"/>
    <row r="327" ht="15" hidden="1" customHeight="1"/>
    <row r="328" ht="15" hidden="1" customHeight="1"/>
    <row r="329" ht="15" hidden="1" customHeight="1"/>
    <row r="330" ht="15" hidden="1" customHeight="1"/>
    <row r="331" ht="15" hidden="1" customHeight="1"/>
    <row r="332" ht="15" hidden="1" customHeight="1"/>
    <row r="333" ht="15" hidden="1" customHeight="1"/>
    <row r="334" ht="15" hidden="1" customHeight="1"/>
    <row r="335" ht="15" hidden="1" customHeight="1"/>
    <row r="336" ht="15" hidden="1" customHeight="1"/>
    <row r="337" ht="15" hidden="1" customHeight="1"/>
    <row r="338" ht="15" hidden="1" customHeight="1"/>
    <row r="339" ht="15" hidden="1" customHeight="1"/>
    <row r="340" ht="15" hidden="1" customHeight="1"/>
    <row r="341" ht="15" hidden="1" customHeight="1"/>
    <row r="342" ht="15" hidden="1" customHeight="1"/>
    <row r="343" ht="15" hidden="1" customHeight="1"/>
    <row r="344" ht="15" hidden="1" customHeight="1"/>
    <row r="345" ht="15" hidden="1" customHeight="1"/>
    <row r="346" ht="15" hidden="1" customHeight="1"/>
    <row r="347" ht="15" hidden="1" customHeight="1"/>
    <row r="348" ht="15" hidden="1" customHeight="1"/>
    <row r="349" ht="15" hidden="1" customHeight="1"/>
    <row r="350" ht="15" hidden="1" customHeight="1"/>
    <row r="351" ht="15" hidden="1" customHeight="1"/>
    <row r="352" ht="15" hidden="1" customHeight="1"/>
    <row r="353" ht="15" hidden="1" customHeight="1"/>
    <row r="354" ht="15" hidden="1" customHeight="1"/>
    <row r="355" ht="15" hidden="1" customHeight="1"/>
    <row r="356" ht="15" hidden="1" customHeight="1"/>
    <row r="357" ht="15" hidden="1" customHeight="1"/>
    <row r="358" ht="15" hidden="1" customHeight="1"/>
    <row r="359" ht="15" hidden="1" customHeight="1"/>
    <row r="360" ht="15" hidden="1" customHeight="1"/>
    <row r="361" ht="15" hidden="1" customHeight="1"/>
    <row r="362" ht="15" hidden="1" customHeight="1"/>
    <row r="363" ht="15" hidden="1" customHeight="1"/>
    <row r="364" ht="15" hidden="1" customHeight="1"/>
    <row r="365" ht="15" hidden="1" customHeight="1"/>
    <row r="366" ht="15" hidden="1" customHeight="1"/>
    <row r="367" ht="15" hidden="1" customHeight="1"/>
    <row r="368" ht="15" hidden="1" customHeight="1"/>
    <row r="369" ht="15" hidden="1" customHeight="1"/>
    <row r="370" ht="15" hidden="1" customHeight="1"/>
    <row r="371" ht="15" hidden="1" customHeight="1"/>
    <row r="372" ht="15" hidden="1" customHeight="1"/>
    <row r="373" ht="15" hidden="1" customHeight="1"/>
    <row r="374" ht="15" hidden="1" customHeight="1"/>
    <row r="375" ht="15" hidden="1" customHeight="1"/>
    <row r="376" ht="15" hidden="1" customHeight="1"/>
    <row r="377" ht="15" hidden="1" customHeight="1"/>
    <row r="378" ht="15" hidden="1" customHeight="1"/>
  </sheetData>
  <dataConsolidate link="1"/>
  <mergeCells count="54">
    <mergeCell ref="B41:B42"/>
    <mergeCell ref="E46:J46"/>
    <mergeCell ref="E44:J44"/>
    <mergeCell ref="E8:E10"/>
    <mergeCell ref="G18:N18"/>
    <mergeCell ref="G8:N10"/>
    <mergeCell ref="G11:N11"/>
    <mergeCell ref="G12:N12"/>
    <mergeCell ref="G13:N13"/>
    <mergeCell ref="G14:N14"/>
    <mergeCell ref="F8:F10"/>
    <mergeCell ref="G15:N15"/>
    <mergeCell ref="G16:N16"/>
    <mergeCell ref="G17:N17"/>
    <mergeCell ref="G23:N23"/>
    <mergeCell ref="E34:J34"/>
    <mergeCell ref="B69:B71"/>
    <mergeCell ref="C69:C71"/>
    <mergeCell ref="B8:B10"/>
    <mergeCell ref="C8:C10"/>
    <mergeCell ref="D8:D10"/>
    <mergeCell ref="B27:B29"/>
    <mergeCell ref="C27:C29"/>
    <mergeCell ref="D27:D29"/>
    <mergeCell ref="B30:B31"/>
    <mergeCell ref="C41:C42"/>
    <mergeCell ref="C30:C31"/>
    <mergeCell ref="B49:B51"/>
    <mergeCell ref="C49:C51"/>
    <mergeCell ref="D49:D51"/>
    <mergeCell ref="B45:B46"/>
    <mergeCell ref="C45:C46"/>
    <mergeCell ref="F49:F51"/>
    <mergeCell ref="G19:N19"/>
    <mergeCell ref="G20:N20"/>
    <mergeCell ref="E37:J37"/>
    <mergeCell ref="E33:J33"/>
    <mergeCell ref="E42:J42"/>
    <mergeCell ref="E27:J29"/>
    <mergeCell ref="E30:J30"/>
    <mergeCell ref="E31:J31"/>
    <mergeCell ref="E32:J32"/>
    <mergeCell ref="E41:J41"/>
    <mergeCell ref="E35:J35"/>
    <mergeCell ref="E40:J40"/>
    <mergeCell ref="G21:N21"/>
    <mergeCell ref="G22:N22"/>
    <mergeCell ref="E49:E51"/>
    <mergeCell ref="E45:J45"/>
    <mergeCell ref="E36:J36"/>
    <mergeCell ref="E39:J39"/>
    <mergeCell ref="E43:J43"/>
    <mergeCell ref="G24:N24"/>
    <mergeCell ref="E38:J38"/>
  </mergeCells>
  <hyperlinks>
    <hyperlink ref="B12" r:id="rId1" tooltip="Ознакомиться с условиями программы на сайте Фонда"/>
    <hyperlink ref="B13" r:id="rId2" tooltip="Ознакомиться с условиями программы на сайте Фонда"/>
    <hyperlink ref="B14" r:id="rId3" tooltip="Ознакомиться с условиями программы на сайте Фонда"/>
    <hyperlink ref="B15" r:id="rId4" tooltip="Ознакомиться с условиями программы на сайте Фонда"/>
    <hyperlink ref="B16" r:id="rId5" tooltip="Ознакомиться с условиями программы на сайте Фонда"/>
    <hyperlink ref="B17" r:id="rId6" tooltip="Ознакомиться с условиями программы на сайте Фонда"/>
    <hyperlink ref="B18" r:id="rId7" tooltip="Ознакомиться с условиями программы на сайте Фонда"/>
    <hyperlink ref="B19" r:id="rId8" tooltip="Ознакомиться с условиями программы на сайте Фонда"/>
    <hyperlink ref="B20" r:id="rId9" tooltip="Ознакомиться с условиями программы на сайте Фонда"/>
    <hyperlink ref="B21" r:id="rId10" tooltip="Ознакомиться с условиями программы на сайте Фонда"/>
    <hyperlink ref="B22" r:id="rId11" tooltip="Ознакомиться с условиями программы на сайте Фонда"/>
    <hyperlink ref="B23" r:id="rId12" tooltip="Ознакомиться с условиями программы на сайте Фонда" display="Комплектующие изделия с РФРП"/>
    <hyperlink ref="B11" r:id="rId13" tooltip="Ознакомиться с условиями программы на сайте Фонда"/>
    <hyperlink ref="B24" r:id="rId14" tooltip="Ознакомиться с условиями программы на сайте Фонда" display="Лесообработка с РФРП"/>
  </hyperlinks>
  <pageMargins left="0.7" right="0.7" top="0.75" bottom="0.75" header="0.3" footer="0.3"/>
  <pageSetup paperSize="9" scale="33" orientation="portrait" r:id="rId1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A0000"/>
    <pageSetUpPr fitToPage="1"/>
  </sheetPr>
  <dimension ref="A2:AY43"/>
  <sheetViews>
    <sheetView showGridLines="0" showRowColHeaders="0" zoomScale="80" zoomScaleNormal="80" workbookViewId="0">
      <pane xSplit="2" ySplit="5" topLeftCell="C30" activePane="bottomRight" state="frozen"/>
      <selection activeCell="E2" sqref="E2:H2"/>
      <selection pane="topRight" activeCell="E2" sqref="E2:H2"/>
      <selection pane="bottomLeft" activeCell="E2" sqref="E2:H2"/>
      <selection pane="bottomRight" activeCell="C20" sqref="C20:O20"/>
    </sheetView>
  </sheetViews>
  <sheetFormatPr defaultColWidth="0" defaultRowHeight="15"/>
  <cols>
    <col min="1" max="1" width="2.7109375" customWidth="1"/>
    <col min="2" max="2" width="50" customWidth="1"/>
    <col min="3" max="15" width="15.7109375" customWidth="1"/>
    <col min="16" max="16" width="2.7109375" customWidth="1"/>
    <col min="17" max="18" width="30" hidden="1" customWidth="1"/>
    <col min="19" max="19" width="45.7109375" hidden="1" customWidth="1"/>
    <col min="20" max="20" width="30" hidden="1" customWidth="1"/>
    <col min="21" max="21" width="2.85546875" hidden="1" customWidth="1"/>
    <col min="22" max="22" width="20" hidden="1" customWidth="1"/>
    <col min="23" max="42" width="15.7109375" hidden="1" customWidth="1"/>
    <col min="43" max="43" width="2.85546875" hidden="1" customWidth="1"/>
    <col min="44" max="51" width="0" hidden="1" customWidth="1"/>
    <col min="52" max="16384" width="9.140625" hidden="1"/>
  </cols>
  <sheetData>
    <row r="2" spans="2:42">
      <c r="O2" s="60" t="str">
        <f>'Титульный лист'!H22</f>
        <v>Версия ФМ: 1.0 - 07.2021</v>
      </c>
    </row>
    <row r="3" spans="2:42">
      <c r="O3" s="59"/>
    </row>
    <row r="5" spans="2:42" ht="31.5">
      <c r="B5" s="7" t="s">
        <v>211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6"/>
      <c r="R5" s="6"/>
      <c r="S5" s="6"/>
      <c r="T5" s="11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</row>
    <row r="7" spans="2:42">
      <c r="B7" s="113" t="s">
        <v>7</v>
      </c>
      <c r="C7" s="115"/>
    </row>
    <row r="8" spans="2:42">
      <c r="B8" s="113" t="s">
        <v>318</v>
      </c>
      <c r="C8" s="21"/>
    </row>
    <row r="9" spans="2:42">
      <c r="B9" s="113" t="s">
        <v>133</v>
      </c>
      <c r="C9" s="10"/>
    </row>
    <row r="10" spans="2:42">
      <c r="B10" s="113" t="s">
        <v>6</v>
      </c>
      <c r="C10" s="8"/>
    </row>
    <row r="12" spans="2:42" ht="31.5">
      <c r="B12" s="56" t="s">
        <v>206</v>
      </c>
      <c r="C12" s="56"/>
      <c r="D12" s="56"/>
      <c r="E12" s="56"/>
      <c r="F12" s="56"/>
      <c r="G12" s="56"/>
      <c r="H12" s="56"/>
      <c r="I12" s="56"/>
      <c r="J12" s="56"/>
      <c r="K12" s="56"/>
      <c r="L12" s="56"/>
      <c r="M12" s="56"/>
      <c r="N12" s="56"/>
      <c r="O12" s="56"/>
      <c r="P12" s="7"/>
      <c r="Q12" s="6"/>
      <c r="R12" s="6"/>
      <c r="S12" s="6"/>
      <c r="T12" s="11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</row>
    <row r="13" spans="2:42" ht="23.25">
      <c r="B13" s="52" t="s">
        <v>239</v>
      </c>
      <c r="C13" s="53"/>
      <c r="D13" s="53"/>
      <c r="E13" s="53"/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</row>
    <row r="14" spans="2:42">
      <c r="B14" s="66" t="s">
        <v>62</v>
      </c>
      <c r="C14" s="275" t="s">
        <v>210</v>
      </c>
      <c r="D14" s="276"/>
      <c r="E14" s="276"/>
      <c r="F14" s="276"/>
      <c r="G14" s="276"/>
      <c r="H14" s="276"/>
      <c r="I14" s="276"/>
      <c r="J14" s="276"/>
      <c r="K14" s="276"/>
      <c r="L14" s="276"/>
      <c r="M14" s="276"/>
      <c r="N14" s="276"/>
      <c r="O14" s="277"/>
    </row>
    <row r="15" spans="2:42" ht="17.25">
      <c r="B15" s="54" t="s">
        <v>27</v>
      </c>
      <c r="C15" s="272" t="s">
        <v>240</v>
      </c>
      <c r="D15" s="273"/>
      <c r="E15" s="273"/>
      <c r="F15" s="273"/>
      <c r="G15" s="273"/>
      <c r="H15" s="273"/>
      <c r="I15" s="273"/>
      <c r="J15" s="273"/>
      <c r="K15" s="273"/>
      <c r="L15" s="273"/>
      <c r="M15" s="273"/>
      <c r="N15" s="273"/>
      <c r="O15" s="274"/>
    </row>
    <row r="16" spans="2:42">
      <c r="B16" s="55" t="s">
        <v>220</v>
      </c>
      <c r="C16" s="278" t="s">
        <v>227</v>
      </c>
      <c r="D16" s="279"/>
      <c r="E16" s="279"/>
      <c r="F16" s="279"/>
      <c r="G16" s="279"/>
      <c r="H16" s="279"/>
      <c r="I16" s="279"/>
      <c r="J16" s="279"/>
      <c r="K16" s="279"/>
      <c r="L16" s="279"/>
      <c r="M16" s="279"/>
      <c r="N16" s="279"/>
      <c r="O16" s="280"/>
    </row>
    <row r="17" spans="2:42">
      <c r="B17" s="55" t="s">
        <v>219</v>
      </c>
      <c r="C17" s="278" t="s">
        <v>214</v>
      </c>
      <c r="D17" s="279"/>
      <c r="E17" s="279"/>
      <c r="F17" s="279"/>
      <c r="G17" s="279"/>
      <c r="H17" s="279"/>
      <c r="I17" s="279"/>
      <c r="J17" s="279"/>
      <c r="K17" s="279"/>
      <c r="L17" s="279"/>
      <c r="M17" s="279"/>
      <c r="N17" s="279"/>
      <c r="O17" s="280"/>
    </row>
    <row r="18" spans="2:42">
      <c r="B18" s="55" t="s">
        <v>212</v>
      </c>
      <c r="C18" s="278" t="s">
        <v>213</v>
      </c>
      <c r="D18" s="279"/>
      <c r="E18" s="279"/>
      <c r="F18" s="279"/>
      <c r="G18" s="279"/>
      <c r="H18" s="279"/>
      <c r="I18" s="279"/>
      <c r="J18" s="279"/>
      <c r="K18" s="279"/>
      <c r="L18" s="279"/>
      <c r="M18" s="279"/>
      <c r="N18" s="279"/>
      <c r="O18" s="280"/>
    </row>
    <row r="19" spans="2:42">
      <c r="B19" s="55" t="s">
        <v>221</v>
      </c>
      <c r="C19" s="278" t="s">
        <v>215</v>
      </c>
      <c r="D19" s="279"/>
      <c r="E19" s="279"/>
      <c r="F19" s="279"/>
      <c r="G19" s="279"/>
      <c r="H19" s="279"/>
      <c r="I19" s="279"/>
      <c r="J19" s="279"/>
      <c r="K19" s="279"/>
      <c r="L19" s="279"/>
      <c r="M19" s="279"/>
      <c r="N19" s="279"/>
      <c r="O19" s="280"/>
    </row>
    <row r="20" spans="2:42">
      <c r="B20" s="55" t="s">
        <v>241</v>
      </c>
      <c r="C20" s="278" t="s">
        <v>217</v>
      </c>
      <c r="D20" s="279"/>
      <c r="E20" s="279"/>
      <c r="F20" s="279"/>
      <c r="G20" s="279"/>
      <c r="H20" s="279"/>
      <c r="I20" s="279"/>
      <c r="J20" s="279"/>
      <c r="K20" s="279"/>
      <c r="L20" s="279"/>
      <c r="M20" s="279"/>
      <c r="N20" s="279"/>
      <c r="O20" s="280"/>
    </row>
    <row r="21" spans="2:42">
      <c r="B21" s="55" t="s">
        <v>29</v>
      </c>
      <c r="C21" s="278" t="s">
        <v>216</v>
      </c>
      <c r="D21" s="279"/>
      <c r="E21" s="279"/>
      <c r="F21" s="279"/>
      <c r="G21" s="279"/>
      <c r="H21" s="279"/>
      <c r="I21" s="279"/>
      <c r="J21" s="279"/>
      <c r="K21" s="279"/>
      <c r="L21" s="279"/>
      <c r="M21" s="279"/>
      <c r="N21" s="279"/>
      <c r="O21" s="280"/>
    </row>
    <row r="22" spans="2:42">
      <c r="B22" s="290" t="s">
        <v>225</v>
      </c>
      <c r="C22" s="292" t="s">
        <v>484</v>
      </c>
      <c r="D22" s="293"/>
      <c r="E22" s="293"/>
      <c r="F22" s="293"/>
      <c r="G22" s="293"/>
      <c r="H22" s="293"/>
      <c r="I22" s="293"/>
      <c r="J22" s="293"/>
      <c r="K22" s="293"/>
      <c r="L22" s="293"/>
      <c r="M22" s="293"/>
      <c r="N22" s="293"/>
      <c r="O22" s="294"/>
    </row>
    <row r="23" spans="2:42">
      <c r="B23" s="291"/>
      <c r="C23" s="295"/>
      <c r="D23" s="296"/>
      <c r="E23" s="296"/>
      <c r="F23" s="296"/>
      <c r="G23" s="296"/>
      <c r="H23" s="296"/>
      <c r="I23" s="296"/>
      <c r="J23" s="296"/>
      <c r="K23" s="296"/>
      <c r="L23" s="296"/>
      <c r="M23" s="296"/>
      <c r="N23" s="296"/>
      <c r="O23" s="297"/>
    </row>
    <row r="24" spans="2:42">
      <c r="B24" s="51"/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</row>
    <row r="25" spans="2:42" ht="31.5">
      <c r="B25" s="56" t="s">
        <v>226</v>
      </c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7"/>
      <c r="Q25" s="6"/>
      <c r="R25" s="6"/>
      <c r="S25" s="6"/>
      <c r="T25" s="11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</row>
    <row r="26" spans="2:42" ht="21">
      <c r="B26" s="52" t="s">
        <v>177</v>
      </c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</row>
    <row r="27" spans="2:42">
      <c r="B27" s="39" t="s">
        <v>80</v>
      </c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</row>
    <row r="28" spans="2:42">
      <c r="B28" s="66" t="s">
        <v>62</v>
      </c>
      <c r="C28" s="275" t="s">
        <v>210</v>
      </c>
      <c r="D28" s="276"/>
      <c r="E28" s="276"/>
      <c r="F28" s="276"/>
      <c r="G28" s="276"/>
      <c r="H28" s="276"/>
      <c r="I28" s="276"/>
      <c r="J28" s="276"/>
      <c r="K28" s="276"/>
      <c r="L28" s="276"/>
      <c r="M28" s="276"/>
      <c r="N28" s="276"/>
      <c r="O28" s="277"/>
    </row>
    <row r="29" spans="2:42" ht="17.25">
      <c r="B29" s="64" t="s">
        <v>80</v>
      </c>
      <c r="C29" s="272" t="s">
        <v>228</v>
      </c>
      <c r="D29" s="273"/>
      <c r="E29" s="273"/>
      <c r="F29" s="273"/>
      <c r="G29" s="273"/>
      <c r="H29" s="273"/>
      <c r="I29" s="273"/>
      <c r="J29" s="273"/>
      <c r="K29" s="273"/>
      <c r="L29" s="273"/>
      <c r="M29" s="273"/>
      <c r="N29" s="273"/>
      <c r="O29" s="274"/>
    </row>
    <row r="30" spans="2:42">
      <c r="B30" s="290" t="s">
        <v>225</v>
      </c>
      <c r="C30" s="298" t="s">
        <v>485</v>
      </c>
      <c r="D30" s="285"/>
      <c r="E30" s="285"/>
      <c r="F30" s="285"/>
      <c r="G30" s="285"/>
      <c r="H30" s="285"/>
      <c r="I30" s="285"/>
      <c r="J30" s="285"/>
      <c r="K30" s="285"/>
      <c r="L30" s="285"/>
      <c r="M30" s="285"/>
      <c r="N30" s="285"/>
      <c r="O30" s="286"/>
    </row>
    <row r="31" spans="2:42">
      <c r="B31" s="291"/>
      <c r="C31" s="287"/>
      <c r="D31" s="288"/>
      <c r="E31" s="288"/>
      <c r="F31" s="288"/>
      <c r="G31" s="288"/>
      <c r="H31" s="288"/>
      <c r="I31" s="288"/>
      <c r="J31" s="288"/>
      <c r="K31" s="288"/>
      <c r="L31" s="288"/>
      <c r="M31" s="288"/>
      <c r="N31" s="288"/>
      <c r="O31" s="289"/>
    </row>
    <row r="32" spans="2:42">
      <c r="B32" s="51"/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</row>
    <row r="33" spans="2:15">
      <c r="B33" s="39" t="s">
        <v>95</v>
      </c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</row>
    <row r="34" spans="2:15">
      <c r="B34" s="66" t="s">
        <v>62</v>
      </c>
      <c r="C34" s="275" t="s">
        <v>210</v>
      </c>
      <c r="D34" s="276"/>
      <c r="E34" s="276"/>
      <c r="F34" s="276"/>
      <c r="G34" s="276"/>
      <c r="H34" s="276"/>
      <c r="I34" s="276"/>
      <c r="J34" s="276"/>
      <c r="K34" s="276"/>
      <c r="L34" s="276"/>
      <c r="M34" s="276"/>
      <c r="N34" s="276"/>
      <c r="O34" s="277"/>
    </row>
    <row r="35" spans="2:15" ht="17.25">
      <c r="B35" s="64" t="s">
        <v>95</v>
      </c>
      <c r="C35" s="272" t="s">
        <v>231</v>
      </c>
      <c r="D35" s="273"/>
      <c r="E35" s="273"/>
      <c r="F35" s="273"/>
      <c r="G35" s="273"/>
      <c r="H35" s="273"/>
      <c r="I35" s="273"/>
      <c r="J35" s="273"/>
      <c r="K35" s="273"/>
      <c r="L35" s="273"/>
      <c r="M35" s="273"/>
      <c r="N35" s="273"/>
      <c r="O35" s="274"/>
    </row>
    <row r="36" spans="2:15" ht="36.75" customHeight="1">
      <c r="B36" s="65" t="s">
        <v>229</v>
      </c>
      <c r="C36" s="281" t="s">
        <v>230</v>
      </c>
      <c r="D36" s="282"/>
      <c r="E36" s="282"/>
      <c r="F36" s="282"/>
      <c r="G36" s="282"/>
      <c r="H36" s="282"/>
      <c r="I36" s="282"/>
      <c r="J36" s="282"/>
      <c r="K36" s="282"/>
      <c r="L36" s="282"/>
      <c r="M36" s="282"/>
      <c r="N36" s="282"/>
      <c r="O36" s="283"/>
    </row>
    <row r="37" spans="2:15">
      <c r="B37" s="290" t="s">
        <v>225</v>
      </c>
      <c r="C37" s="284" t="s">
        <v>232</v>
      </c>
      <c r="D37" s="285"/>
      <c r="E37" s="285"/>
      <c r="F37" s="285"/>
      <c r="G37" s="285"/>
      <c r="H37" s="285"/>
      <c r="I37" s="285"/>
      <c r="J37" s="285"/>
      <c r="K37" s="285"/>
      <c r="L37" s="285"/>
      <c r="M37" s="285"/>
      <c r="N37" s="285"/>
      <c r="O37" s="286"/>
    </row>
    <row r="38" spans="2:15">
      <c r="B38" s="291"/>
      <c r="C38" s="287"/>
      <c r="D38" s="288"/>
      <c r="E38" s="288"/>
      <c r="F38" s="288"/>
      <c r="G38" s="288"/>
      <c r="H38" s="288"/>
      <c r="I38" s="288"/>
      <c r="J38" s="288"/>
      <c r="K38" s="288"/>
      <c r="L38" s="288"/>
      <c r="M38" s="288"/>
      <c r="N38" s="288"/>
      <c r="O38" s="289"/>
    </row>
    <row r="39" spans="2:15">
      <c r="B39" s="67"/>
      <c r="C39" s="68"/>
      <c r="D39" s="68"/>
      <c r="E39" s="68"/>
      <c r="F39" s="68"/>
      <c r="G39" s="68"/>
      <c r="H39" s="68"/>
      <c r="I39" s="68"/>
      <c r="J39" s="68"/>
      <c r="K39" s="68"/>
      <c r="L39" s="68"/>
      <c r="M39" s="68"/>
      <c r="N39" s="68"/>
      <c r="O39" s="69"/>
    </row>
    <row r="40" spans="2:15">
      <c r="B40" s="70" t="s">
        <v>63</v>
      </c>
      <c r="C40" s="68"/>
      <c r="D40" s="68"/>
      <c r="E40" s="68"/>
      <c r="F40" s="68"/>
      <c r="G40" s="68"/>
      <c r="H40" s="68"/>
      <c r="I40" s="68"/>
      <c r="J40" s="68"/>
      <c r="K40" s="68"/>
      <c r="L40" s="68"/>
      <c r="M40" s="68"/>
      <c r="N40" s="68"/>
      <c r="O40" s="69"/>
    </row>
    <row r="41" spans="2:15">
      <c r="B41" s="66" t="s">
        <v>62</v>
      </c>
      <c r="C41" s="275" t="s">
        <v>210</v>
      </c>
      <c r="D41" s="276"/>
      <c r="E41" s="276"/>
      <c r="F41" s="276"/>
      <c r="G41" s="276"/>
      <c r="H41" s="276"/>
      <c r="I41" s="276"/>
      <c r="J41" s="276"/>
      <c r="K41" s="276"/>
      <c r="L41" s="276"/>
      <c r="M41" s="276"/>
      <c r="N41" s="276"/>
      <c r="O41" s="277"/>
    </row>
    <row r="42" spans="2:15">
      <c r="B42" s="64" t="s">
        <v>63</v>
      </c>
      <c r="C42" s="272" t="s">
        <v>486</v>
      </c>
      <c r="D42" s="273"/>
      <c r="E42" s="273"/>
      <c r="F42" s="273"/>
      <c r="G42" s="273"/>
      <c r="H42" s="273"/>
      <c r="I42" s="273"/>
      <c r="J42" s="273"/>
      <c r="K42" s="273"/>
      <c r="L42" s="273"/>
      <c r="M42" s="273"/>
      <c r="N42" s="273"/>
      <c r="O42" s="274"/>
    </row>
    <row r="43" spans="2:15">
      <c r="B43" s="51"/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1"/>
      <c r="O43" s="51"/>
    </row>
  </sheetData>
  <dataConsolidate link="1"/>
  <mergeCells count="21">
    <mergeCell ref="B22:B23"/>
    <mergeCell ref="C22:O23"/>
    <mergeCell ref="C28:O28"/>
    <mergeCell ref="C30:O31"/>
    <mergeCell ref="C41:O41"/>
    <mergeCell ref="B30:B31"/>
    <mergeCell ref="B37:B38"/>
    <mergeCell ref="C42:O42"/>
    <mergeCell ref="C14:O14"/>
    <mergeCell ref="C15:O15"/>
    <mergeCell ref="C16:O16"/>
    <mergeCell ref="C19:O19"/>
    <mergeCell ref="C17:O17"/>
    <mergeCell ref="C18:O18"/>
    <mergeCell ref="C20:O20"/>
    <mergeCell ref="C21:O21"/>
    <mergeCell ref="C29:O29"/>
    <mergeCell ref="C34:O34"/>
    <mergeCell ref="C35:O35"/>
    <mergeCell ref="C36:O36"/>
    <mergeCell ref="C37:O38"/>
  </mergeCells>
  <pageMargins left="0.70866141732283472" right="0.70866141732283472" top="0.74803149606299213" bottom="0.74803149606299213" header="0.31496062992125984" footer="0.31496062992125984"/>
  <pageSetup paperSize="9" scale="5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tabColor theme="8" tint="0.79998168889431442"/>
    <pageSetUpPr fitToPage="1"/>
  </sheetPr>
  <dimension ref="A1:AF2603"/>
  <sheetViews>
    <sheetView showGridLines="0" showRowColHeaders="0" topLeftCell="A25" zoomScale="80" zoomScaleNormal="80" workbookViewId="0">
      <selection activeCell="F22" sqref="F22"/>
    </sheetView>
  </sheetViews>
  <sheetFormatPr defaultColWidth="0" defaultRowHeight="15" customHeight="1" zeroHeight="1"/>
  <cols>
    <col min="1" max="1" width="2.85546875" style="51" customWidth="1"/>
    <col min="2" max="2" width="45" style="51" customWidth="1"/>
    <col min="3" max="4" width="44.42578125" style="51" hidden="1" customWidth="1"/>
    <col min="5" max="7" width="45" style="51" customWidth="1"/>
    <col min="8" max="9" width="44.42578125" style="51" hidden="1" customWidth="1"/>
    <col min="10" max="10" width="45" style="51" customWidth="1"/>
    <col min="11" max="11" width="2.7109375" style="51" customWidth="1"/>
    <col min="12" max="16" width="33.28515625" style="51" hidden="1" customWidth="1"/>
    <col min="17" max="31" width="15.7109375" style="51" hidden="1" customWidth="1"/>
    <col min="32" max="32" width="2.85546875" style="51" hidden="1" customWidth="1"/>
    <col min="33" max="16384" width="9.140625" style="51" hidden="1"/>
  </cols>
  <sheetData>
    <row r="1" spans="2:31" ht="15" customHeight="1"/>
    <row r="2" spans="2:31" ht="27" customHeight="1"/>
    <row r="3" spans="2:31" ht="32.25" customHeight="1">
      <c r="B3" s="56" t="s">
        <v>28</v>
      </c>
      <c r="C3" s="56"/>
      <c r="D3" s="56"/>
      <c r="E3" s="117"/>
      <c r="F3" s="117"/>
      <c r="G3" s="117"/>
      <c r="H3" s="56"/>
      <c r="I3" s="56"/>
      <c r="J3" s="118"/>
      <c r="K3" s="117"/>
      <c r="L3" s="56" t="s">
        <v>247</v>
      </c>
      <c r="M3" s="117"/>
      <c r="N3" s="117"/>
      <c r="O3" s="117"/>
      <c r="P3" s="117"/>
      <c r="Q3" s="117"/>
      <c r="R3" s="117"/>
      <c r="S3" s="117"/>
      <c r="T3" s="117"/>
      <c r="U3" s="117"/>
      <c r="V3" s="117"/>
      <c r="W3" s="117"/>
      <c r="X3" s="117"/>
      <c r="Y3" s="117"/>
      <c r="Z3" s="117"/>
      <c r="AA3" s="117"/>
      <c r="AB3" s="117"/>
      <c r="AC3" s="117"/>
      <c r="AD3" s="117"/>
      <c r="AE3" s="117"/>
    </row>
    <row r="4" spans="2:31" ht="15" customHeight="1">
      <c r="B4" s="56"/>
      <c r="C4" s="56"/>
      <c r="D4" s="56"/>
      <c r="E4" s="117"/>
      <c r="F4" s="117"/>
      <c r="G4" s="117"/>
      <c r="H4" s="56"/>
      <c r="I4" s="56"/>
      <c r="J4" s="118"/>
      <c r="K4" s="117"/>
      <c r="L4" s="56"/>
      <c r="M4" s="117"/>
      <c r="N4" s="117"/>
      <c r="O4" s="117"/>
      <c r="P4" s="117"/>
      <c r="Q4" s="117"/>
      <c r="R4" s="117"/>
      <c r="S4" s="117"/>
      <c r="T4" s="117"/>
      <c r="U4" s="117"/>
      <c r="V4" s="117"/>
      <c r="W4" s="117"/>
      <c r="X4" s="117"/>
      <c r="Y4" s="117"/>
      <c r="Z4" s="117"/>
      <c r="AA4" s="117"/>
      <c r="AB4" s="117"/>
      <c r="AC4" s="117"/>
      <c r="AD4" s="117"/>
      <c r="AE4" s="117"/>
    </row>
    <row r="5" spans="2:31" ht="21" customHeight="1">
      <c r="B5" s="52" t="s">
        <v>165</v>
      </c>
      <c r="C5" s="56"/>
      <c r="D5" s="56"/>
      <c r="K5" s="117"/>
      <c r="L5" s="56"/>
      <c r="M5" s="117"/>
      <c r="N5" s="117"/>
      <c r="O5" s="117"/>
      <c r="P5" s="117"/>
      <c r="Q5" s="117"/>
      <c r="R5" s="117"/>
      <c r="S5" s="117"/>
      <c r="T5" s="117"/>
      <c r="U5" s="117"/>
      <c r="V5" s="117"/>
      <c r="W5" s="117"/>
      <c r="X5" s="117"/>
      <c r="Y5" s="117"/>
      <c r="Z5" s="117"/>
      <c r="AA5" s="117"/>
      <c r="AB5" s="117"/>
      <c r="AC5" s="117"/>
      <c r="AD5" s="117"/>
      <c r="AE5" s="117"/>
    </row>
    <row r="6" spans="2:31" ht="15" customHeight="1">
      <c r="B6" s="119" t="s">
        <v>1</v>
      </c>
      <c r="C6" s="56"/>
      <c r="D6" s="56"/>
      <c r="E6" s="120"/>
      <c r="K6" s="117"/>
      <c r="L6" s="56"/>
      <c r="M6" s="117"/>
      <c r="N6" s="117"/>
      <c r="O6" s="117"/>
      <c r="P6" s="117"/>
      <c r="Q6" s="117"/>
      <c r="R6" s="117"/>
      <c r="S6" s="117"/>
      <c r="T6" s="117"/>
      <c r="U6" s="117"/>
      <c r="V6" s="117"/>
      <c r="W6" s="117"/>
      <c r="X6" s="117"/>
      <c r="Y6" s="117"/>
      <c r="Z6" s="117"/>
      <c r="AA6" s="117"/>
      <c r="AB6" s="117"/>
      <c r="AC6" s="117"/>
      <c r="AD6" s="117"/>
      <c r="AE6" s="117"/>
    </row>
    <row r="7" spans="2:31" ht="15" customHeight="1">
      <c r="B7" s="299"/>
      <c r="C7" s="300"/>
      <c r="D7" s="300"/>
      <c r="E7" s="301"/>
      <c r="K7" s="117"/>
      <c r="L7" s="56"/>
      <c r="M7" s="117"/>
      <c r="N7" s="117"/>
      <c r="O7" s="117"/>
      <c r="P7" s="117"/>
      <c r="Q7" s="117"/>
      <c r="R7" s="117"/>
      <c r="S7" s="117"/>
      <c r="T7" s="117"/>
      <c r="U7" s="117"/>
      <c r="V7" s="117"/>
      <c r="W7" s="117"/>
      <c r="X7" s="117"/>
      <c r="Y7" s="117"/>
      <c r="Z7" s="117"/>
      <c r="AA7" s="117"/>
      <c r="AB7" s="117"/>
      <c r="AC7" s="117"/>
      <c r="AD7" s="117"/>
      <c r="AE7" s="117"/>
    </row>
    <row r="8" spans="2:31" ht="15" customHeight="1">
      <c r="C8" s="56"/>
      <c r="D8" s="56"/>
      <c r="K8" s="117"/>
      <c r="L8" s="56"/>
      <c r="M8" s="117"/>
      <c r="N8" s="117"/>
      <c r="O8" s="117"/>
      <c r="P8" s="117"/>
      <c r="Q8" s="117"/>
      <c r="R8" s="117"/>
      <c r="S8" s="117"/>
      <c r="T8" s="117"/>
      <c r="U8" s="117"/>
      <c r="V8" s="117"/>
      <c r="W8" s="117"/>
      <c r="X8" s="117"/>
      <c r="Y8" s="117"/>
      <c r="Z8" s="117"/>
      <c r="AA8" s="117"/>
      <c r="AB8" s="117"/>
      <c r="AC8" s="117"/>
      <c r="AD8" s="117"/>
      <c r="AE8" s="117"/>
    </row>
    <row r="9" spans="2:31" ht="45">
      <c r="B9" s="121" t="s">
        <v>248</v>
      </c>
      <c r="C9" s="122"/>
      <c r="D9" s="123"/>
      <c r="E9" s="22"/>
      <c r="G9" s="124" t="s">
        <v>3</v>
      </c>
      <c r="H9" s="56"/>
      <c r="I9" s="56"/>
      <c r="J9" s="125">
        <f>DATE(YEAR(Дата_получения_Займа),ROUNDUP(MONTH(Дата_получения_Займа)/Месяцев_в_квартале,0)*Месяцев_в_квартале-2,1)</f>
        <v>44470</v>
      </c>
      <c r="K9" s="117"/>
      <c r="L9" s="56"/>
      <c r="M9" s="117"/>
      <c r="N9" s="117"/>
      <c r="O9" s="117"/>
      <c r="P9" s="117"/>
      <c r="Q9" s="117"/>
      <c r="R9" s="117"/>
      <c r="S9" s="117"/>
      <c r="T9" s="117"/>
      <c r="U9" s="117"/>
      <c r="V9" s="117"/>
      <c r="W9" s="117"/>
      <c r="X9" s="117"/>
      <c r="Y9" s="117"/>
      <c r="Z9" s="117"/>
      <c r="AA9" s="117"/>
      <c r="AB9" s="117"/>
      <c r="AC9" s="117"/>
      <c r="AD9" s="117"/>
      <c r="AE9" s="117"/>
    </row>
    <row r="10" spans="2:31" ht="15" customHeight="1">
      <c r="C10" s="56"/>
      <c r="D10" s="56"/>
      <c r="G10" s="122" t="s">
        <v>2</v>
      </c>
      <c r="H10" s="56"/>
      <c r="I10" s="56"/>
      <c r="J10" s="126">
        <f>IFERROR(ROUND((J11-J9)/(365/Кварталов_в_году),0),0)</f>
        <v>21</v>
      </c>
      <c r="K10" s="117"/>
      <c r="L10" s="56"/>
      <c r="M10" s="117"/>
      <c r="N10" s="117"/>
      <c r="O10" s="117"/>
      <c r="P10" s="117"/>
      <c r="Q10" s="117"/>
      <c r="R10" s="117"/>
      <c r="S10" s="117"/>
      <c r="T10" s="117"/>
      <c r="U10" s="117"/>
      <c r="V10" s="117"/>
      <c r="W10" s="117"/>
      <c r="X10" s="117"/>
      <c r="Y10" s="117"/>
      <c r="Z10" s="117"/>
      <c r="AA10" s="117"/>
      <c r="AB10" s="117"/>
      <c r="AC10" s="117"/>
      <c r="AD10" s="117"/>
      <c r="AE10" s="117"/>
    </row>
    <row r="11" spans="2:31" ht="15" customHeight="1">
      <c r="B11" s="210"/>
      <c r="C11" s="211"/>
      <c r="D11" s="211"/>
      <c r="E11" s="212"/>
      <c r="G11" s="124" t="s">
        <v>4</v>
      </c>
      <c r="H11" s="56"/>
      <c r="I11" s="56"/>
      <c r="J11" s="127">
        <f>IFERROR(EOMONTH(DATE(YEAR(Дата_погашения_Займа),ROUNDUP(MONTH(Дата_погашения_Займа)/Месяцев_в_квартале,0)*Месяцев_в_квартале,1),0),0)</f>
        <v>46387</v>
      </c>
      <c r="K11" s="117"/>
      <c r="L11" s="56"/>
      <c r="M11" s="117"/>
      <c r="N11" s="117"/>
      <c r="O11" s="117"/>
      <c r="P11" s="117"/>
      <c r="Q11" s="117"/>
      <c r="R11" s="117"/>
      <c r="S11" s="117"/>
      <c r="T11" s="117"/>
      <c r="U11" s="117"/>
      <c r="V11" s="117"/>
      <c r="W11" s="117"/>
      <c r="X11" s="117"/>
      <c r="Y11" s="117"/>
      <c r="Z11" s="117"/>
      <c r="AA11" s="117"/>
      <c r="AB11" s="117"/>
      <c r="AC11" s="117"/>
      <c r="AD11" s="117"/>
      <c r="AE11" s="117"/>
    </row>
    <row r="12" spans="2:31" ht="15" customHeight="1">
      <c r="C12" s="56"/>
      <c r="D12" s="56"/>
      <c r="K12" s="117"/>
      <c r="L12" s="56"/>
      <c r="M12" s="117"/>
      <c r="N12" s="117"/>
      <c r="O12" s="117"/>
      <c r="P12" s="117"/>
      <c r="Q12" s="117"/>
      <c r="R12" s="117"/>
      <c r="S12" s="117"/>
      <c r="T12" s="117"/>
      <c r="U12" s="117"/>
      <c r="V12" s="117"/>
      <c r="W12" s="117"/>
      <c r="X12" s="117"/>
      <c r="Y12" s="117"/>
      <c r="Z12" s="117"/>
      <c r="AA12" s="117"/>
      <c r="AB12" s="117"/>
      <c r="AC12" s="117"/>
      <c r="AD12" s="117"/>
      <c r="AE12" s="117"/>
    </row>
    <row r="13" spans="2:31" ht="15" customHeight="1">
      <c r="B13" s="114" t="s">
        <v>317</v>
      </c>
      <c r="C13" s="56"/>
      <c r="D13" s="56"/>
      <c r="E13" s="123" t="s">
        <v>122</v>
      </c>
      <c r="G13" s="124" t="s">
        <v>9</v>
      </c>
      <c r="J13" s="126" t="s">
        <v>10</v>
      </c>
      <c r="K13" s="117"/>
      <c r="L13" s="56"/>
      <c r="M13" s="117"/>
      <c r="N13" s="117"/>
      <c r="O13" s="117"/>
      <c r="P13" s="117"/>
      <c r="Q13" s="117"/>
      <c r="R13" s="117"/>
      <c r="S13" s="117"/>
      <c r="T13" s="117"/>
      <c r="U13" s="117"/>
      <c r="V13" s="117"/>
      <c r="W13" s="117"/>
      <c r="X13" s="117"/>
      <c r="Y13" s="117"/>
      <c r="Z13" s="117"/>
      <c r="AA13" s="117"/>
      <c r="AB13" s="117"/>
      <c r="AC13" s="117"/>
      <c r="AD13" s="117"/>
      <c r="AE13" s="117"/>
    </row>
    <row r="14" spans="2:31" ht="15" customHeight="1">
      <c r="B14" s="114" t="str">
        <f>"Дополнительная валюта №1"&amp;IF(ISBLANK('Параметры займа'!E14),""," - ")&amp;IFERROR(INDEX('Параметры займа'!$Y$30:$Y$62,MATCH('Параметры займа'!E14,'Параметры займа'!$Z$30:$Z$62,0)),"")</f>
        <v>Дополнительная валюта №1</v>
      </c>
      <c r="C14" s="56"/>
      <c r="D14" s="56"/>
      <c r="E14" s="23"/>
      <c r="G14" s="124" t="s">
        <v>37</v>
      </c>
      <c r="J14" s="123">
        <v>12</v>
      </c>
      <c r="K14" s="117"/>
      <c r="L14" s="56"/>
      <c r="M14" s="117"/>
      <c r="N14" s="117"/>
      <c r="O14" s="117"/>
      <c r="P14" s="117"/>
      <c r="Q14" s="117"/>
      <c r="R14" s="117"/>
      <c r="S14" s="117"/>
      <c r="T14" s="117"/>
      <c r="U14" s="117"/>
      <c r="V14" s="117"/>
      <c r="W14" s="117"/>
      <c r="X14" s="117"/>
      <c r="Y14" s="117"/>
      <c r="Z14" s="117"/>
      <c r="AA14" s="117"/>
      <c r="AB14" s="117"/>
      <c r="AC14" s="117"/>
      <c r="AD14" s="117"/>
      <c r="AE14" s="117"/>
    </row>
    <row r="15" spans="2:31" ht="15" customHeight="1">
      <c r="B15" s="114" t="str">
        <f>"Дополнительная валюта №2"&amp;IF(ISBLANK('Параметры займа'!E15),""," - ")&amp;IFERROR(INDEX('Параметры займа'!$Y$30:$Y$62,MATCH('Параметры займа'!E15,'Параметры займа'!$Z$30:$Z$62,0)),"")</f>
        <v>Дополнительная валюта №2</v>
      </c>
      <c r="C15" s="56"/>
      <c r="D15" s="56"/>
      <c r="E15" s="23"/>
      <c r="G15" s="124" t="s">
        <v>5</v>
      </c>
      <c r="J15" s="123">
        <v>3</v>
      </c>
      <c r="K15" s="117"/>
      <c r="L15" s="56"/>
      <c r="M15" s="117"/>
      <c r="N15" s="117"/>
      <c r="O15" s="117"/>
      <c r="P15" s="117"/>
      <c r="Q15" s="117"/>
      <c r="R15" s="117"/>
      <c r="S15" s="117"/>
      <c r="T15" s="117"/>
      <c r="U15" s="117"/>
      <c r="V15" s="117"/>
      <c r="W15" s="117"/>
      <c r="X15" s="117"/>
      <c r="Y15" s="117"/>
      <c r="Z15" s="117"/>
      <c r="AA15" s="117"/>
      <c r="AB15" s="117"/>
      <c r="AC15" s="117"/>
      <c r="AD15" s="117"/>
      <c r="AE15" s="117"/>
    </row>
    <row r="16" spans="2:31" ht="15" customHeight="1">
      <c r="C16" s="56"/>
      <c r="D16" s="56"/>
      <c r="E16" s="118"/>
      <c r="G16" s="124" t="s">
        <v>38</v>
      </c>
      <c r="J16" s="123">
        <v>4</v>
      </c>
      <c r="K16" s="117"/>
      <c r="L16" s="56"/>
      <c r="M16" s="117"/>
      <c r="N16" s="117"/>
      <c r="O16" s="117"/>
      <c r="P16" s="117"/>
      <c r="Q16" s="117"/>
      <c r="R16" s="117"/>
      <c r="S16" s="117"/>
      <c r="T16" s="117"/>
      <c r="U16" s="117"/>
      <c r="V16" s="117"/>
      <c r="W16" s="117"/>
      <c r="X16" s="117"/>
      <c r="Y16" s="117"/>
      <c r="Z16" s="117"/>
      <c r="AA16" s="117"/>
      <c r="AB16" s="117"/>
      <c r="AC16" s="117"/>
      <c r="AD16" s="117"/>
      <c r="AE16" s="117"/>
    </row>
    <row r="17" spans="2:31" ht="15" customHeight="1">
      <c r="G17" s="117"/>
      <c r="H17" s="56"/>
      <c r="I17" s="56"/>
      <c r="J17" s="118"/>
      <c r="K17" s="117"/>
      <c r="L17" s="56"/>
      <c r="M17" s="117"/>
      <c r="N17" s="117"/>
      <c r="O17" s="117"/>
      <c r="P17" s="117"/>
      <c r="Q17" s="117"/>
      <c r="R17" s="117"/>
      <c r="S17" s="117"/>
      <c r="T17" s="117"/>
      <c r="U17" s="117"/>
      <c r="V17" s="117"/>
      <c r="W17" s="117"/>
      <c r="X17" s="117"/>
      <c r="Y17" s="117"/>
      <c r="Z17" s="117"/>
      <c r="AA17" s="117"/>
      <c r="AB17" s="117"/>
      <c r="AC17" s="117"/>
      <c r="AD17" s="117"/>
      <c r="AE17" s="117"/>
    </row>
    <row r="18" spans="2:31" ht="21">
      <c r="B18" s="52" t="s">
        <v>161</v>
      </c>
      <c r="C18" s="52"/>
      <c r="D18" s="52"/>
      <c r="E18" s="53"/>
      <c r="F18" s="53"/>
      <c r="G18" s="52" t="s">
        <v>162</v>
      </c>
      <c r="J18" s="53"/>
      <c r="K18" s="53"/>
      <c r="L18" s="52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3"/>
      <c r="Z18" s="53"/>
      <c r="AA18" s="53"/>
      <c r="AB18" s="53"/>
      <c r="AC18" s="53"/>
      <c r="AD18" s="53"/>
      <c r="AE18" s="53"/>
    </row>
    <row r="19" spans="2:31" ht="15" customHeight="1">
      <c r="B19" s="128" t="s">
        <v>27</v>
      </c>
      <c r="C19" s="129" t="s">
        <v>181</v>
      </c>
      <c r="D19" s="130">
        <f>DATE(YEAR($J$22),ROUNDUP(MONTH($J$22)/Месяцев_в_квартале,0)*Месяцев_в_квартале-1,15)</f>
        <v>46341</v>
      </c>
      <c r="E19" s="30" t="s">
        <v>523</v>
      </c>
      <c r="F19" s="48" t="str">
        <f>IF(ISBLANK(Программа),"выберите программу","")</f>
        <v/>
      </c>
      <c r="G19" s="131" t="s">
        <v>158</v>
      </c>
      <c r="J19" s="46">
        <f>IF(ISBLANK(Программа),"-",IF(Дата_получения_Займа&gt;=DATE(D23,12,20),DATE(D23+1,3,20),DATE(D23,D21,20)))</f>
        <v>44550</v>
      </c>
      <c r="L19" s="132" t="s">
        <v>236</v>
      </c>
    </row>
    <row r="20" spans="2:31" ht="15" customHeight="1">
      <c r="B20" s="121" t="s">
        <v>33</v>
      </c>
      <c r="C20" s="122" t="s">
        <v>182</v>
      </c>
      <c r="D20" s="123">
        <f>MONTH(Дата_погашения_Займа)</f>
        <v>12</v>
      </c>
      <c r="E20" s="22">
        <v>30000</v>
      </c>
      <c r="F20" s="49" t="str">
        <f>IFERROR(IF(ISBLANK(E20),"установите значение",IF(OR(E20&lt;IF(AND(ISNUMBER(MATCH(Регион,'Программы финансирования'!#REF!,0)),ISNUMBER(MATCH(Программа,'Программы финансирования'!#REF!,0))),VLOOKUP(Программа,'Программы финансирования'!#REF!,2,FALSE),VLOOKUP(Программа,'Программы финансирования'!$B$8:$F$24,2,FALSE)),E20&gt;VLOOKUP(Программа,'Программы финансирования'!$B$8:$F$24,3,FALSE)),"не соответствует требованиям","")),"")</f>
        <v/>
      </c>
      <c r="G20" s="131" t="s">
        <v>244</v>
      </c>
      <c r="J20" s="46">
        <f>IF(ISBLANK(Программа),"-",EDATE(E22,Месяцев_в_году*3)+1)</f>
        <v>45628</v>
      </c>
      <c r="L20" s="132" t="s">
        <v>237</v>
      </c>
    </row>
    <row r="21" spans="2:31" ht="15" customHeight="1">
      <c r="B21" s="121" t="s">
        <v>164</v>
      </c>
      <c r="C21" s="122" t="s">
        <v>185</v>
      </c>
      <c r="D21" s="133">
        <f>ROUNDUP(MONTH(Дата_получения_Займа)/Месяцев_в_квартале,0)*Месяцев_в_квартале</f>
        <v>12</v>
      </c>
      <c r="E21" s="23">
        <v>60</v>
      </c>
      <c r="F21" s="48" t="str">
        <f>IFERROR(IF(ISBLANK(E21),"установите значение",IF(OR(E21&gt;VLOOKUP(Программа,'Программы финансирования'!$B$8:$F$24,4,FALSE),E21&lt;24),"не соответствует требованиям","")),"")</f>
        <v/>
      </c>
      <c r="G21" s="131" t="s">
        <v>157</v>
      </c>
      <c r="J21" s="47">
        <f>IF(OR(ISBLANK(Программа),ISBLANK(E23)),"-",EOMONTH(EDATE(DATE(YEAR($J$22)-IF(D20&gt;D22,0,1),D22,15),SUM(-E23,Месяцев_в_квартале*IF($J$22&lt;=D19,1,2))),0))</f>
        <v>45382</v>
      </c>
      <c r="L21" s="132" t="s">
        <v>326</v>
      </c>
    </row>
    <row r="22" spans="2:31" ht="15" customHeight="1">
      <c r="B22" s="121" t="s">
        <v>212</v>
      </c>
      <c r="C22" s="122" t="s">
        <v>183</v>
      </c>
      <c r="D22" s="123">
        <f>IF(ROUNDUP(D20/3,0)=1,4,ROUNDUP(D20/3,0)-1)*Месяцев_в_квартале</f>
        <v>9</v>
      </c>
      <c r="E22" s="24">
        <v>44531</v>
      </c>
      <c r="F22" s="48" t="str">
        <f>IF(ISBLANK(E22),"установите значение","")</f>
        <v/>
      </c>
      <c r="G22" s="131" t="s">
        <v>30</v>
      </c>
      <c r="J22" s="47">
        <f>IF(ISBLANK(Программа),"-",EDATE(E22,E21))</f>
        <v>46357</v>
      </c>
      <c r="L22" s="132" t="s">
        <v>18</v>
      </c>
    </row>
    <row r="23" spans="2:31" ht="15" customHeight="1">
      <c r="B23" s="128" t="s">
        <v>163</v>
      </c>
      <c r="C23" s="122" t="s">
        <v>184</v>
      </c>
      <c r="D23" s="123">
        <f>YEAR(Дата_получения_Займа)</f>
        <v>2021</v>
      </c>
      <c r="E23" s="23">
        <v>36</v>
      </c>
      <c r="F23" s="48"/>
      <c r="G23" s="131" t="s">
        <v>36</v>
      </c>
      <c r="J23" s="36">
        <f>IFERROR(E20/E23*Месяцев_в_квартале,0)</f>
        <v>2500</v>
      </c>
      <c r="L23" s="132" t="s">
        <v>127</v>
      </c>
    </row>
    <row r="24" spans="2:31" ht="15" customHeight="1">
      <c r="B24" s="128" t="s">
        <v>241</v>
      </c>
      <c r="C24" s="134" t="s">
        <v>207</v>
      </c>
      <c r="D24" s="32" t="str">
        <f>IFERROR(IF(COUNTBLANK($E$19:$E$25)=0,"R","Q"),"Q")</f>
        <v>R</v>
      </c>
      <c r="E24" s="209">
        <v>1.4999999999999999E-2</v>
      </c>
      <c r="F24" s="49" t="str">
        <f>IFERROR(IF(ISBLANK(E24),"установите значение",IF(OR(E24&lt;VLOOKUP(Программа,'Программы финансирования'!$B$30:$C$46,2,FALSE),E24&gt;VLOOKUP(Программа,'Программы финансирования'!$B$11:$F$24,5,FALSE)),"не соответствует требованиям","")),"")</f>
        <v/>
      </c>
      <c r="G24" s="131" t="s">
        <v>160</v>
      </c>
      <c r="J24" s="36">
        <f>SUM(E60,J60)</f>
        <v>31667.312205254882</v>
      </c>
      <c r="L24" s="132" t="s">
        <v>19</v>
      </c>
    </row>
    <row r="25" spans="2:31" ht="15" customHeight="1">
      <c r="B25" s="128" t="s">
        <v>29</v>
      </c>
      <c r="C25" s="134" t="s">
        <v>208</v>
      </c>
      <c r="D25" s="32" t="str">
        <f>IFERROR(IF(COUNTIF(F19:F25,"не соответствует требованиям")&gt;0,"Q","R"),"Q")</f>
        <v>R</v>
      </c>
      <c r="E25" s="209">
        <v>1.4999999999999999E-2</v>
      </c>
      <c r="F25" s="48" t="str">
        <f>IFERROR(IF(ISBLANK(E25),"установите значение",IF(OR(E25&lt;VLOOKUP(Программа,'Программы финансирования'!$B$30:$C$46,2,FALSE),E25&gt;VLOOKUP(Программа,'Программы финансирования'!$B$11:$F$24,5,FALSE)),"не соответствует требованиям","")),"")</f>
        <v/>
      </c>
      <c r="G25" s="131" t="s">
        <v>32</v>
      </c>
      <c r="J25" s="37">
        <f>CEILING(IF(D26="R",SUM(E60,P2588),J24)/1000,0.5)*1000</f>
        <v>32000</v>
      </c>
      <c r="L25" s="132" t="s">
        <v>21</v>
      </c>
    </row>
    <row r="26" spans="2:31" ht="15" customHeight="1">
      <c r="B26" s="135" t="s">
        <v>319</v>
      </c>
      <c r="C26" s="136" t="s">
        <v>235</v>
      </c>
      <c r="D26" s="32" t="str">
        <f>IF(OR(ISNUMBER(MATCH(Программа,L22:L25,0)),AND(OR(ISNUMBER(SEARCH("Проекты развития",Программа)),ISNUMBER(SEARCH("Лесообработка",Программа))),E26&lt;&gt;"да",E24&lt;&gt;E25)),"R","Q")</f>
        <v>Q</v>
      </c>
      <c r="E26" s="123" t="s">
        <v>483</v>
      </c>
      <c r="F26" s="48" t="str">
        <f>IF(ISBLANK(E26),"установите значение","")</f>
        <v/>
      </c>
      <c r="G26" s="137"/>
      <c r="J26" s="137"/>
      <c r="L26" s="138" t="s">
        <v>238</v>
      </c>
    </row>
    <row r="27" spans="2:31" ht="15" customHeight="1">
      <c r="B27" s="139"/>
      <c r="C27" s="139"/>
      <c r="D27" s="139"/>
      <c r="H27" s="139"/>
      <c r="I27" s="139"/>
      <c r="J27" s="140"/>
    </row>
    <row r="28" spans="2:31" ht="21">
      <c r="B28" s="303" t="s">
        <v>39</v>
      </c>
      <c r="C28" s="303"/>
      <c r="D28" s="303"/>
      <c r="E28" s="303"/>
      <c r="F28" s="303"/>
      <c r="G28" s="303" t="s">
        <v>34</v>
      </c>
      <c r="H28" s="303"/>
      <c r="I28" s="303"/>
      <c r="J28" s="303"/>
      <c r="K28" s="53"/>
      <c r="L28" s="52" t="s">
        <v>245</v>
      </c>
      <c r="M28" s="53"/>
      <c r="N28" s="53"/>
      <c r="O28" s="53"/>
      <c r="P28" s="141"/>
      <c r="Q28" s="53"/>
      <c r="R28" s="53"/>
      <c r="S28" s="53"/>
      <c r="T28" s="53"/>
      <c r="U28" s="53"/>
      <c r="V28" s="53"/>
      <c r="W28" s="52" t="s">
        <v>331</v>
      </c>
      <c r="X28" s="53"/>
      <c r="Y28" s="52" t="s">
        <v>299</v>
      </c>
      <c r="AA28" s="53"/>
      <c r="AB28" s="53"/>
      <c r="AC28" s="53"/>
      <c r="AD28" s="53"/>
      <c r="AE28" s="53"/>
    </row>
    <row r="29" spans="2:31" ht="15" customHeight="1">
      <c r="B29" s="261" t="s">
        <v>40</v>
      </c>
      <c r="C29" s="261" t="s">
        <v>61</v>
      </c>
      <c r="D29" s="261" t="s">
        <v>60</v>
      </c>
      <c r="E29" s="261" t="s">
        <v>222</v>
      </c>
      <c r="F29" s="261" t="s">
        <v>159</v>
      </c>
      <c r="G29" s="261" t="s">
        <v>31</v>
      </c>
      <c r="H29" s="261" t="s">
        <v>61</v>
      </c>
      <c r="I29" s="261" t="s">
        <v>60</v>
      </c>
      <c r="J29" s="261" t="s">
        <v>35</v>
      </c>
      <c r="L29" s="261" t="s">
        <v>242</v>
      </c>
      <c r="M29" s="261" t="s">
        <v>222</v>
      </c>
      <c r="N29" s="261" t="s">
        <v>159</v>
      </c>
      <c r="O29" s="261" t="s">
        <v>243</v>
      </c>
      <c r="P29" s="261" t="s">
        <v>246</v>
      </c>
      <c r="R29" s="261" t="s">
        <v>469</v>
      </c>
      <c r="S29" s="261" t="s">
        <v>470</v>
      </c>
      <c r="T29" s="261" t="s">
        <v>469</v>
      </c>
      <c r="U29" s="261" t="s">
        <v>35</v>
      </c>
      <c r="W29" s="246" t="s">
        <v>332</v>
      </c>
      <c r="Y29" s="116" t="s">
        <v>209</v>
      </c>
      <c r="Z29" s="116" t="s">
        <v>281</v>
      </c>
    </row>
    <row r="30" spans="2:31" ht="15" customHeight="1">
      <c r="B30" s="302"/>
      <c r="C30" s="302"/>
      <c r="D30" s="302"/>
      <c r="E30" s="302"/>
      <c r="F30" s="302"/>
      <c r="G30" s="302"/>
      <c r="H30" s="302"/>
      <c r="I30" s="302"/>
      <c r="J30" s="302"/>
      <c r="L30" s="302"/>
      <c r="M30" s="302"/>
      <c r="N30" s="302"/>
      <c r="O30" s="302"/>
      <c r="P30" s="302"/>
      <c r="R30" s="302"/>
      <c r="S30" s="302"/>
      <c r="T30" s="302"/>
      <c r="U30" s="302"/>
      <c r="W30" s="249"/>
      <c r="Y30" s="142" t="s">
        <v>289</v>
      </c>
      <c r="Z30" s="143" t="s">
        <v>120</v>
      </c>
    </row>
    <row r="31" spans="2:31">
      <c r="B31" s="43">
        <f t="shared" ref="B31:B59" si="0">IFERROR(IF(OR(COUNTIF($D$24:$D$25,"Q")&gt;0,B30=Дата_погашения_Займа),"-",MIN(EOMONTH(G31,0)+IF(MONTH(G31)=12,15,0),$J$22)),"-")</f>
        <v>44576</v>
      </c>
      <c r="C31" s="44">
        <f t="shared" ref="C31:C58" si="1">IFERROR(YEAR(B31),"-")</f>
        <v>2022</v>
      </c>
      <c r="D31" s="44">
        <f t="shared" ref="D31:D59" si="2">IFERROR(ROUNDUP(MONTH(B31)/Месяцев_в_квартале,0),"-")</f>
        <v>1</v>
      </c>
      <c r="E31" s="35">
        <f t="shared" ref="E31:E59" si="3">IFERROR(IF(B31=$J$22,$J$23,IF(OR(AND(B32=$J$22,B32&gt;=DATE(YEAR(B32),1,15),B32&lt;=$D$19)),0,IF(AND(B31&gt;=$J$21,B31&lt;=$J$22),$J$23,0))),0)</f>
        <v>0</v>
      </c>
      <c r="F31" s="35">
        <f t="shared" ref="F31:F59" si="4">IF(COUNTIF($D$24:$D$25,"Q")&gt;0,"-",IF(ISNUMBER(F30),F30-E31,$E$20))</f>
        <v>30000</v>
      </c>
      <c r="G31" s="43">
        <f t="shared" ref="G31:G59" si="5">IF(OR(COUNTIF($D$24:$D$25,"Q")&gt;0,G30=$J$22,G30="-"),"-",IF(ISNUMBER(G30),MIN(EDATE(G30,3),$J$22),$J$19))</f>
        <v>44550</v>
      </c>
      <c r="H31" s="44">
        <f>IFERROR(YEAR(G31),"-")</f>
        <v>2021</v>
      </c>
      <c r="I31" s="44">
        <f t="shared" ref="I31:I59" si="6">IFERROR(ROUNDUP(MONTH(G31)/Месяцев_в_квартале,0),"-")</f>
        <v>4</v>
      </c>
      <c r="J31" s="35">
        <f t="shared" ref="J31:J59" si="7">SUMIFS($O$31:$O$2587,$L$31:$L$2587,"&gt;"&amp;IF(ISNUMBER(G30),G30,Дата_получения_Займа),$L$31:$L$2587,"&lt;="&amp;G31)</f>
        <v>23.424657534246581</v>
      </c>
      <c r="K31" s="53"/>
      <c r="L31" s="43">
        <f t="shared" ref="L31:L94" si="8">IFERROR(IF(MAX(L30+1,Дата_получения_Займа+1)&gt;Дата_погашения_Займа,"-",MAX(L30+1,Дата_получения_Займа+1)),"-")</f>
        <v>44532</v>
      </c>
      <c r="M31" s="35">
        <f t="shared" ref="M31:M94" si="9">IFERROR(VLOOKUP(L31,$B$31:$E$59,4,FALSE),0)</f>
        <v>0</v>
      </c>
      <c r="N31" s="35">
        <f t="shared" ref="N31:N94" si="10">IF(ISNUMBER(N30),N30-M31,$E$20)</f>
        <v>30000</v>
      </c>
      <c r="O31" s="35">
        <f t="shared" ref="O31:O94" si="11">IFERROR(IF(ISNUMBER(N30),N30,$E$20)*IF(L31&gt;=$J$20,$E$25,$E$24)/IF(MOD(YEAR(L31),4),365,366)*IF(ISBLANK(L30),L31-$E$22,L31-L30),0)</f>
        <v>1.2328767123287672</v>
      </c>
      <c r="P31" s="35">
        <f t="shared" ref="P31:P94" si="12">IFERROR(IF(ISNUMBER(N30),N30,$E$20)*3%/IF(MOD(YEAR(L31),4),365,366)*IF(ISBLANK(L30),(L31-$E$22),L31-L30),0)</f>
        <v>2.4657534246575343</v>
      </c>
      <c r="Q31" s="53"/>
      <c r="R31" s="43">
        <f t="shared" ref="R31:R59" si="13">DATE(YEAR(B31),ROUNDUP(MONTH(B31)/Месяцев_в_квартале,0)*3+1,1)-1</f>
        <v>44651</v>
      </c>
      <c r="S31" s="35">
        <f t="shared" ref="S31:S59" si="14">E31</f>
        <v>0</v>
      </c>
      <c r="T31" s="43">
        <f t="shared" ref="T31:T59" si="15">DATE(YEAR(G31),ROUNDUP(MONTH(G31)/Месяцев_в_квартале,0)*3+1,1)-1</f>
        <v>44561</v>
      </c>
      <c r="U31" s="35">
        <f>J31</f>
        <v>23.424657534246581</v>
      </c>
      <c r="V31" s="53"/>
      <c r="W31" s="144" t="s">
        <v>352</v>
      </c>
      <c r="X31" s="53"/>
      <c r="Y31" s="145" t="s">
        <v>290</v>
      </c>
      <c r="Z31" s="146" t="s">
        <v>121</v>
      </c>
      <c r="AA31" s="53"/>
      <c r="AB31" s="53"/>
      <c r="AC31" s="53"/>
      <c r="AD31" s="53"/>
    </row>
    <row r="32" spans="2:31" ht="15" customHeight="1">
      <c r="B32" s="43">
        <f t="shared" si="0"/>
        <v>44651</v>
      </c>
      <c r="C32" s="44">
        <f t="shared" si="1"/>
        <v>2022</v>
      </c>
      <c r="D32" s="44">
        <f t="shared" si="2"/>
        <v>1</v>
      </c>
      <c r="E32" s="35">
        <f t="shared" si="3"/>
        <v>0</v>
      </c>
      <c r="F32" s="35">
        <f t="shared" si="4"/>
        <v>30000</v>
      </c>
      <c r="G32" s="43">
        <f t="shared" si="5"/>
        <v>44640</v>
      </c>
      <c r="H32" s="44">
        <f t="shared" ref="H32:H58" si="16">IFERROR(YEAR(G32),"-")</f>
        <v>2022</v>
      </c>
      <c r="I32" s="44">
        <f t="shared" si="6"/>
        <v>1</v>
      </c>
      <c r="J32" s="35">
        <f t="shared" si="7"/>
        <v>110.9589041095888</v>
      </c>
      <c r="K32" s="53"/>
      <c r="L32" s="43">
        <f t="shared" si="8"/>
        <v>44533</v>
      </c>
      <c r="M32" s="35">
        <f t="shared" si="9"/>
        <v>0</v>
      </c>
      <c r="N32" s="35">
        <f t="shared" si="10"/>
        <v>30000</v>
      </c>
      <c r="O32" s="35">
        <f t="shared" si="11"/>
        <v>1.2328767123287672</v>
      </c>
      <c r="P32" s="35">
        <f t="shared" si="12"/>
        <v>2.4657534246575343</v>
      </c>
      <c r="R32" s="43">
        <f t="shared" si="13"/>
        <v>44651</v>
      </c>
      <c r="S32" s="35">
        <f t="shared" si="14"/>
        <v>0</v>
      </c>
      <c r="T32" s="43">
        <f t="shared" si="15"/>
        <v>44651</v>
      </c>
      <c r="U32" s="35">
        <f t="shared" ref="U32:U59" si="17">J32</f>
        <v>110.9589041095888</v>
      </c>
      <c r="W32" s="42" t="s">
        <v>361</v>
      </c>
      <c r="Y32" s="145" t="s">
        <v>292</v>
      </c>
      <c r="Z32" s="146" t="s">
        <v>264</v>
      </c>
    </row>
    <row r="33" spans="2:26" ht="15" customHeight="1">
      <c r="B33" s="43">
        <f t="shared" si="0"/>
        <v>44742</v>
      </c>
      <c r="C33" s="44">
        <f t="shared" si="1"/>
        <v>2022</v>
      </c>
      <c r="D33" s="44">
        <f t="shared" si="2"/>
        <v>2</v>
      </c>
      <c r="E33" s="35">
        <f t="shared" si="3"/>
        <v>0</v>
      </c>
      <c r="F33" s="35">
        <f t="shared" si="4"/>
        <v>30000</v>
      </c>
      <c r="G33" s="43">
        <f t="shared" si="5"/>
        <v>44732</v>
      </c>
      <c r="H33" s="44">
        <f t="shared" si="16"/>
        <v>2022</v>
      </c>
      <c r="I33" s="44">
        <f t="shared" si="6"/>
        <v>2</v>
      </c>
      <c r="J33" s="35">
        <f t="shared" si="7"/>
        <v>113.42465753424632</v>
      </c>
      <c r="K33" s="53"/>
      <c r="L33" s="43">
        <f t="shared" si="8"/>
        <v>44534</v>
      </c>
      <c r="M33" s="35">
        <f t="shared" si="9"/>
        <v>0</v>
      </c>
      <c r="N33" s="35">
        <f t="shared" si="10"/>
        <v>30000</v>
      </c>
      <c r="O33" s="35">
        <f t="shared" si="11"/>
        <v>1.2328767123287672</v>
      </c>
      <c r="P33" s="35">
        <f t="shared" si="12"/>
        <v>2.4657534246575343</v>
      </c>
      <c r="R33" s="43">
        <f t="shared" si="13"/>
        <v>44742</v>
      </c>
      <c r="S33" s="35">
        <f t="shared" si="14"/>
        <v>0</v>
      </c>
      <c r="T33" s="43">
        <f t="shared" si="15"/>
        <v>44742</v>
      </c>
      <c r="U33" s="35">
        <f t="shared" si="17"/>
        <v>113.42465753424632</v>
      </c>
      <c r="W33" s="42" t="s">
        <v>362</v>
      </c>
      <c r="Y33" s="145" t="s">
        <v>298</v>
      </c>
      <c r="Z33" s="146" t="s">
        <v>278</v>
      </c>
    </row>
    <row r="34" spans="2:26" ht="15" customHeight="1">
      <c r="B34" s="43">
        <f t="shared" si="0"/>
        <v>44834</v>
      </c>
      <c r="C34" s="44">
        <f t="shared" si="1"/>
        <v>2022</v>
      </c>
      <c r="D34" s="44">
        <f t="shared" si="2"/>
        <v>3</v>
      </c>
      <c r="E34" s="35">
        <f t="shared" si="3"/>
        <v>0</v>
      </c>
      <c r="F34" s="35">
        <f t="shared" si="4"/>
        <v>30000</v>
      </c>
      <c r="G34" s="43">
        <f t="shared" si="5"/>
        <v>44824</v>
      </c>
      <c r="H34" s="44">
        <f t="shared" si="16"/>
        <v>2022</v>
      </c>
      <c r="I34" s="44">
        <f t="shared" si="6"/>
        <v>3</v>
      </c>
      <c r="J34" s="35">
        <f t="shared" si="7"/>
        <v>113.42465753424632</v>
      </c>
      <c r="K34" s="53"/>
      <c r="L34" s="43">
        <f t="shared" si="8"/>
        <v>44535</v>
      </c>
      <c r="M34" s="35">
        <f t="shared" si="9"/>
        <v>0</v>
      </c>
      <c r="N34" s="35">
        <f t="shared" si="10"/>
        <v>30000</v>
      </c>
      <c r="O34" s="35">
        <f t="shared" si="11"/>
        <v>1.2328767123287672</v>
      </c>
      <c r="P34" s="35">
        <f t="shared" si="12"/>
        <v>2.4657534246575343</v>
      </c>
      <c r="R34" s="43">
        <f t="shared" si="13"/>
        <v>44834</v>
      </c>
      <c r="S34" s="35">
        <f t="shared" si="14"/>
        <v>0</v>
      </c>
      <c r="T34" s="43">
        <f t="shared" si="15"/>
        <v>44834</v>
      </c>
      <c r="U34" s="35">
        <f t="shared" si="17"/>
        <v>113.42465753424632</v>
      </c>
      <c r="W34" s="42" t="s">
        <v>363</v>
      </c>
      <c r="Y34" s="145" t="s">
        <v>297</v>
      </c>
      <c r="Z34" s="146" t="s">
        <v>275</v>
      </c>
    </row>
    <row r="35" spans="2:26" ht="15" customHeight="1">
      <c r="B35" s="43">
        <f t="shared" si="0"/>
        <v>44941</v>
      </c>
      <c r="C35" s="44">
        <f t="shared" si="1"/>
        <v>2023</v>
      </c>
      <c r="D35" s="44">
        <f t="shared" si="2"/>
        <v>1</v>
      </c>
      <c r="E35" s="35">
        <f t="shared" si="3"/>
        <v>0</v>
      </c>
      <c r="F35" s="35">
        <f t="shared" si="4"/>
        <v>30000</v>
      </c>
      <c r="G35" s="43">
        <f t="shared" si="5"/>
        <v>44915</v>
      </c>
      <c r="H35" s="44">
        <f t="shared" si="16"/>
        <v>2022</v>
      </c>
      <c r="I35" s="44">
        <f t="shared" si="6"/>
        <v>4</v>
      </c>
      <c r="J35" s="35">
        <f t="shared" si="7"/>
        <v>112.19178082191756</v>
      </c>
      <c r="K35" s="53"/>
      <c r="L35" s="43">
        <f t="shared" si="8"/>
        <v>44536</v>
      </c>
      <c r="M35" s="35">
        <f t="shared" si="9"/>
        <v>0</v>
      </c>
      <c r="N35" s="35">
        <f t="shared" si="10"/>
        <v>30000</v>
      </c>
      <c r="O35" s="35">
        <f t="shared" si="11"/>
        <v>1.2328767123287672</v>
      </c>
      <c r="P35" s="35">
        <f t="shared" si="12"/>
        <v>2.4657534246575343</v>
      </c>
      <c r="R35" s="43">
        <f t="shared" si="13"/>
        <v>45016</v>
      </c>
      <c r="S35" s="35">
        <f t="shared" si="14"/>
        <v>0</v>
      </c>
      <c r="T35" s="43">
        <f t="shared" si="15"/>
        <v>44926</v>
      </c>
      <c r="U35" s="35">
        <f t="shared" si="17"/>
        <v>112.19178082191756</v>
      </c>
      <c r="W35" s="42" t="s">
        <v>364</v>
      </c>
      <c r="Y35" s="145" t="s">
        <v>282</v>
      </c>
      <c r="Z35" s="146" t="s">
        <v>250</v>
      </c>
    </row>
    <row r="36" spans="2:26" ht="15" customHeight="1">
      <c r="B36" s="43">
        <f t="shared" si="0"/>
        <v>45016</v>
      </c>
      <c r="C36" s="44">
        <f t="shared" si="1"/>
        <v>2023</v>
      </c>
      <c r="D36" s="44">
        <f t="shared" si="2"/>
        <v>1</v>
      </c>
      <c r="E36" s="35">
        <f t="shared" si="3"/>
        <v>0</v>
      </c>
      <c r="F36" s="35">
        <f t="shared" si="4"/>
        <v>30000</v>
      </c>
      <c r="G36" s="43">
        <f t="shared" si="5"/>
        <v>45005</v>
      </c>
      <c r="H36" s="44">
        <f t="shared" si="16"/>
        <v>2023</v>
      </c>
      <c r="I36" s="44">
        <f t="shared" si="6"/>
        <v>1</v>
      </c>
      <c r="J36" s="35">
        <f t="shared" si="7"/>
        <v>110.9589041095888</v>
      </c>
      <c r="K36" s="53"/>
      <c r="L36" s="43">
        <f t="shared" si="8"/>
        <v>44537</v>
      </c>
      <c r="M36" s="35">
        <f t="shared" si="9"/>
        <v>0</v>
      </c>
      <c r="N36" s="35">
        <f t="shared" si="10"/>
        <v>30000</v>
      </c>
      <c r="O36" s="35">
        <f t="shared" si="11"/>
        <v>1.2328767123287672</v>
      </c>
      <c r="P36" s="35">
        <f t="shared" si="12"/>
        <v>2.4657534246575343</v>
      </c>
      <c r="R36" s="43">
        <f t="shared" si="13"/>
        <v>45016</v>
      </c>
      <c r="S36" s="35">
        <f t="shared" si="14"/>
        <v>0</v>
      </c>
      <c r="T36" s="43">
        <f t="shared" si="15"/>
        <v>45016</v>
      </c>
      <c r="U36" s="35">
        <f t="shared" si="17"/>
        <v>110.9589041095888</v>
      </c>
      <c r="W36" s="42" t="s">
        <v>365</v>
      </c>
      <c r="Y36" s="145" t="s">
        <v>283</v>
      </c>
      <c r="Z36" s="146" t="s">
        <v>251</v>
      </c>
    </row>
    <row r="37" spans="2:26" ht="15" customHeight="1">
      <c r="B37" s="43">
        <f t="shared" si="0"/>
        <v>45107</v>
      </c>
      <c r="C37" s="44">
        <f t="shared" si="1"/>
        <v>2023</v>
      </c>
      <c r="D37" s="44">
        <f t="shared" si="2"/>
        <v>2</v>
      </c>
      <c r="E37" s="35">
        <f t="shared" si="3"/>
        <v>0</v>
      </c>
      <c r="F37" s="35">
        <f t="shared" si="4"/>
        <v>30000</v>
      </c>
      <c r="G37" s="43">
        <f t="shared" si="5"/>
        <v>45097</v>
      </c>
      <c r="H37" s="44">
        <f t="shared" si="16"/>
        <v>2023</v>
      </c>
      <c r="I37" s="44">
        <f t="shared" si="6"/>
        <v>2</v>
      </c>
      <c r="J37" s="35">
        <f t="shared" si="7"/>
        <v>113.42465753424632</v>
      </c>
      <c r="K37" s="53"/>
      <c r="L37" s="43">
        <f t="shared" si="8"/>
        <v>44538</v>
      </c>
      <c r="M37" s="35">
        <f t="shared" si="9"/>
        <v>0</v>
      </c>
      <c r="N37" s="35">
        <f t="shared" si="10"/>
        <v>30000</v>
      </c>
      <c r="O37" s="35">
        <f t="shared" si="11"/>
        <v>1.2328767123287672</v>
      </c>
      <c r="P37" s="35">
        <f t="shared" si="12"/>
        <v>2.4657534246575343</v>
      </c>
      <c r="R37" s="43">
        <f t="shared" si="13"/>
        <v>45107</v>
      </c>
      <c r="S37" s="35">
        <f t="shared" si="14"/>
        <v>0</v>
      </c>
      <c r="T37" s="43">
        <f t="shared" si="15"/>
        <v>45107</v>
      </c>
      <c r="U37" s="35">
        <f t="shared" si="17"/>
        <v>113.42465753424632</v>
      </c>
      <c r="W37" s="42" t="s">
        <v>366</v>
      </c>
      <c r="Y37" s="145" t="s">
        <v>305</v>
      </c>
      <c r="Z37" s="146" t="s">
        <v>252</v>
      </c>
    </row>
    <row r="38" spans="2:26" ht="15" customHeight="1">
      <c r="B38" s="43">
        <f t="shared" si="0"/>
        <v>45199</v>
      </c>
      <c r="C38" s="44">
        <f t="shared" si="1"/>
        <v>2023</v>
      </c>
      <c r="D38" s="44">
        <f t="shared" si="2"/>
        <v>3</v>
      </c>
      <c r="E38" s="35">
        <f t="shared" si="3"/>
        <v>0</v>
      </c>
      <c r="F38" s="35">
        <f t="shared" si="4"/>
        <v>30000</v>
      </c>
      <c r="G38" s="43">
        <f t="shared" si="5"/>
        <v>45189</v>
      </c>
      <c r="H38" s="44">
        <f t="shared" si="16"/>
        <v>2023</v>
      </c>
      <c r="I38" s="44">
        <f t="shared" si="6"/>
        <v>3</v>
      </c>
      <c r="J38" s="35">
        <f t="shared" si="7"/>
        <v>113.42465753424632</v>
      </c>
      <c r="K38" s="53"/>
      <c r="L38" s="43">
        <f t="shared" si="8"/>
        <v>44539</v>
      </c>
      <c r="M38" s="35">
        <f t="shared" si="9"/>
        <v>0</v>
      </c>
      <c r="N38" s="35">
        <f t="shared" si="10"/>
        <v>30000</v>
      </c>
      <c r="O38" s="35">
        <f t="shared" si="11"/>
        <v>1.2328767123287672</v>
      </c>
      <c r="P38" s="35">
        <f t="shared" si="12"/>
        <v>2.4657534246575343</v>
      </c>
      <c r="R38" s="43">
        <f t="shared" si="13"/>
        <v>45199</v>
      </c>
      <c r="S38" s="35">
        <f t="shared" si="14"/>
        <v>0</v>
      </c>
      <c r="T38" s="43">
        <f t="shared" si="15"/>
        <v>45199</v>
      </c>
      <c r="U38" s="35">
        <f t="shared" si="17"/>
        <v>113.42465753424632</v>
      </c>
      <c r="W38" s="42" t="s">
        <v>367</v>
      </c>
      <c r="Y38" s="145" t="s">
        <v>284</v>
      </c>
      <c r="Z38" s="146" t="s">
        <v>253</v>
      </c>
    </row>
    <row r="39" spans="2:26" ht="15" customHeight="1">
      <c r="B39" s="43">
        <f t="shared" si="0"/>
        <v>45306</v>
      </c>
      <c r="C39" s="44">
        <f t="shared" si="1"/>
        <v>2024</v>
      </c>
      <c r="D39" s="44">
        <f t="shared" si="2"/>
        <v>1</v>
      </c>
      <c r="E39" s="35">
        <f t="shared" si="3"/>
        <v>0</v>
      </c>
      <c r="F39" s="35">
        <f t="shared" si="4"/>
        <v>30000</v>
      </c>
      <c r="G39" s="43">
        <f t="shared" si="5"/>
        <v>45280</v>
      </c>
      <c r="H39" s="44">
        <f t="shared" si="16"/>
        <v>2023</v>
      </c>
      <c r="I39" s="44">
        <f t="shared" si="6"/>
        <v>4</v>
      </c>
      <c r="J39" s="35">
        <f t="shared" si="7"/>
        <v>112.19178082191756</v>
      </c>
      <c r="K39" s="53"/>
      <c r="L39" s="43">
        <f t="shared" si="8"/>
        <v>44540</v>
      </c>
      <c r="M39" s="35">
        <f t="shared" si="9"/>
        <v>0</v>
      </c>
      <c r="N39" s="35">
        <f t="shared" si="10"/>
        <v>30000</v>
      </c>
      <c r="O39" s="35">
        <f t="shared" si="11"/>
        <v>1.2328767123287672</v>
      </c>
      <c r="P39" s="35">
        <f t="shared" si="12"/>
        <v>2.4657534246575343</v>
      </c>
      <c r="R39" s="43">
        <f t="shared" si="13"/>
        <v>45382</v>
      </c>
      <c r="S39" s="35">
        <f t="shared" si="14"/>
        <v>0</v>
      </c>
      <c r="T39" s="43">
        <f t="shared" si="15"/>
        <v>45291</v>
      </c>
      <c r="U39" s="35">
        <f t="shared" si="17"/>
        <v>112.19178082191756</v>
      </c>
      <c r="W39" s="42" t="s">
        <v>368</v>
      </c>
      <c r="Y39" s="145" t="s">
        <v>285</v>
      </c>
      <c r="Z39" s="146" t="s">
        <v>254</v>
      </c>
    </row>
    <row r="40" spans="2:26" ht="15" customHeight="1">
      <c r="B40" s="43">
        <f t="shared" si="0"/>
        <v>45382</v>
      </c>
      <c r="C40" s="44">
        <f t="shared" si="1"/>
        <v>2024</v>
      </c>
      <c r="D40" s="44">
        <f t="shared" si="2"/>
        <v>1</v>
      </c>
      <c r="E40" s="35">
        <f t="shared" si="3"/>
        <v>2500</v>
      </c>
      <c r="F40" s="35">
        <f t="shared" si="4"/>
        <v>27500</v>
      </c>
      <c r="G40" s="43">
        <f t="shared" si="5"/>
        <v>45371</v>
      </c>
      <c r="H40" s="44">
        <f t="shared" si="16"/>
        <v>2024</v>
      </c>
      <c r="I40" s="44">
        <f t="shared" si="6"/>
        <v>1</v>
      </c>
      <c r="J40" s="35">
        <f t="shared" si="7"/>
        <v>111.92229957332141</v>
      </c>
      <c r="K40" s="53"/>
      <c r="L40" s="43">
        <f t="shared" si="8"/>
        <v>44541</v>
      </c>
      <c r="M40" s="35">
        <f t="shared" si="9"/>
        <v>0</v>
      </c>
      <c r="N40" s="35">
        <f t="shared" si="10"/>
        <v>30000</v>
      </c>
      <c r="O40" s="35">
        <f t="shared" si="11"/>
        <v>1.2328767123287672</v>
      </c>
      <c r="P40" s="35">
        <f t="shared" si="12"/>
        <v>2.4657534246575343</v>
      </c>
      <c r="R40" s="43">
        <f t="shared" si="13"/>
        <v>45382</v>
      </c>
      <c r="S40" s="35">
        <f t="shared" si="14"/>
        <v>2500</v>
      </c>
      <c r="T40" s="43">
        <f t="shared" si="15"/>
        <v>45382</v>
      </c>
      <c r="U40" s="35">
        <f t="shared" si="17"/>
        <v>111.92229957332141</v>
      </c>
      <c r="W40" s="42" t="s">
        <v>369</v>
      </c>
      <c r="Y40" s="145" t="s">
        <v>286</v>
      </c>
      <c r="Z40" s="146" t="s">
        <v>255</v>
      </c>
    </row>
    <row r="41" spans="2:26" ht="15" customHeight="1">
      <c r="B41" s="43">
        <f t="shared" si="0"/>
        <v>45473</v>
      </c>
      <c r="C41" s="44">
        <f t="shared" si="1"/>
        <v>2024</v>
      </c>
      <c r="D41" s="44">
        <f t="shared" si="2"/>
        <v>2</v>
      </c>
      <c r="E41" s="35">
        <f t="shared" si="3"/>
        <v>2500</v>
      </c>
      <c r="F41" s="35">
        <f t="shared" si="4"/>
        <v>25000</v>
      </c>
      <c r="G41" s="43">
        <f t="shared" si="5"/>
        <v>45463</v>
      </c>
      <c r="H41" s="44">
        <f t="shared" si="16"/>
        <v>2024</v>
      </c>
      <c r="I41" s="44">
        <f t="shared" si="6"/>
        <v>2</v>
      </c>
      <c r="J41" s="35">
        <f t="shared" si="7"/>
        <v>104.81557377049188</v>
      </c>
      <c r="K41" s="53"/>
      <c r="L41" s="43">
        <f t="shared" si="8"/>
        <v>44542</v>
      </c>
      <c r="M41" s="35">
        <f t="shared" si="9"/>
        <v>0</v>
      </c>
      <c r="N41" s="35">
        <f t="shared" si="10"/>
        <v>30000</v>
      </c>
      <c r="O41" s="35">
        <f t="shared" si="11"/>
        <v>1.2328767123287672</v>
      </c>
      <c r="P41" s="35">
        <f t="shared" si="12"/>
        <v>2.4657534246575343</v>
      </c>
      <c r="R41" s="43">
        <f t="shared" si="13"/>
        <v>45473</v>
      </c>
      <c r="S41" s="35">
        <f t="shared" si="14"/>
        <v>2500</v>
      </c>
      <c r="T41" s="43">
        <f t="shared" si="15"/>
        <v>45473</v>
      </c>
      <c r="U41" s="35">
        <f t="shared" si="17"/>
        <v>104.81557377049188</v>
      </c>
      <c r="W41" s="42" t="s">
        <v>407</v>
      </c>
      <c r="Y41" s="145" t="s">
        <v>306</v>
      </c>
      <c r="Z41" s="146" t="s">
        <v>256</v>
      </c>
    </row>
    <row r="42" spans="2:26" ht="15" customHeight="1">
      <c r="B42" s="43">
        <f t="shared" si="0"/>
        <v>45565</v>
      </c>
      <c r="C42" s="44">
        <f t="shared" si="1"/>
        <v>2024</v>
      </c>
      <c r="D42" s="44">
        <f t="shared" si="2"/>
        <v>3</v>
      </c>
      <c r="E42" s="35">
        <f t="shared" si="3"/>
        <v>2500</v>
      </c>
      <c r="F42" s="35">
        <f t="shared" si="4"/>
        <v>22500</v>
      </c>
      <c r="G42" s="43">
        <f t="shared" si="5"/>
        <v>45555</v>
      </c>
      <c r="H42" s="44">
        <f t="shared" si="16"/>
        <v>2024</v>
      </c>
      <c r="I42" s="44">
        <f t="shared" si="6"/>
        <v>3</v>
      </c>
      <c r="J42" s="35">
        <f t="shared" si="7"/>
        <v>95.286885245901473</v>
      </c>
      <c r="K42" s="53"/>
      <c r="L42" s="43">
        <f t="shared" si="8"/>
        <v>44543</v>
      </c>
      <c r="M42" s="35">
        <f t="shared" si="9"/>
        <v>0</v>
      </c>
      <c r="N42" s="35">
        <f t="shared" si="10"/>
        <v>30000</v>
      </c>
      <c r="O42" s="35">
        <f t="shared" si="11"/>
        <v>1.2328767123287672</v>
      </c>
      <c r="P42" s="35">
        <f t="shared" si="12"/>
        <v>2.4657534246575343</v>
      </c>
      <c r="R42" s="43">
        <f t="shared" si="13"/>
        <v>45565</v>
      </c>
      <c r="S42" s="35">
        <f t="shared" si="14"/>
        <v>2500</v>
      </c>
      <c r="T42" s="43">
        <f t="shared" si="15"/>
        <v>45565</v>
      </c>
      <c r="U42" s="35">
        <f t="shared" si="17"/>
        <v>95.286885245901473</v>
      </c>
      <c r="W42" s="42" t="s">
        <v>353</v>
      </c>
      <c r="Y42" s="145" t="s">
        <v>287</v>
      </c>
      <c r="Z42" s="146" t="s">
        <v>257</v>
      </c>
    </row>
    <row r="43" spans="2:26" ht="15" customHeight="1">
      <c r="B43" s="43">
        <f t="shared" si="0"/>
        <v>45672</v>
      </c>
      <c r="C43" s="44">
        <f t="shared" si="1"/>
        <v>2025</v>
      </c>
      <c r="D43" s="44">
        <f t="shared" si="2"/>
        <v>1</v>
      </c>
      <c r="E43" s="35">
        <f t="shared" si="3"/>
        <v>2500</v>
      </c>
      <c r="F43" s="35">
        <f t="shared" si="4"/>
        <v>20000</v>
      </c>
      <c r="G43" s="43">
        <f t="shared" si="5"/>
        <v>45646</v>
      </c>
      <c r="H43" s="44">
        <f t="shared" si="16"/>
        <v>2024</v>
      </c>
      <c r="I43" s="44">
        <f t="shared" si="6"/>
        <v>4</v>
      </c>
      <c r="J43" s="35">
        <f t="shared" si="7"/>
        <v>84.93852459016378</v>
      </c>
      <c r="K43" s="53"/>
      <c r="L43" s="43">
        <f t="shared" si="8"/>
        <v>44544</v>
      </c>
      <c r="M43" s="35">
        <f t="shared" si="9"/>
        <v>0</v>
      </c>
      <c r="N43" s="35">
        <f t="shared" si="10"/>
        <v>30000</v>
      </c>
      <c r="O43" s="35">
        <f t="shared" si="11"/>
        <v>1.2328767123287672</v>
      </c>
      <c r="P43" s="35">
        <f t="shared" si="12"/>
        <v>2.4657534246575343</v>
      </c>
      <c r="R43" s="43">
        <f t="shared" si="13"/>
        <v>45747</v>
      </c>
      <c r="S43" s="35">
        <f t="shared" si="14"/>
        <v>2500</v>
      </c>
      <c r="T43" s="43">
        <f t="shared" si="15"/>
        <v>45657</v>
      </c>
      <c r="U43" s="35">
        <f t="shared" si="17"/>
        <v>84.93852459016378</v>
      </c>
      <c r="W43" s="42" t="s">
        <v>370</v>
      </c>
      <c r="Y43" s="145" t="s">
        <v>307</v>
      </c>
      <c r="Z43" s="146" t="s">
        <v>258</v>
      </c>
    </row>
    <row r="44" spans="2:26" ht="15" customHeight="1">
      <c r="B44" s="43">
        <f t="shared" si="0"/>
        <v>45747</v>
      </c>
      <c r="C44" s="44">
        <f t="shared" si="1"/>
        <v>2025</v>
      </c>
      <c r="D44" s="44">
        <f t="shared" si="2"/>
        <v>1</v>
      </c>
      <c r="E44" s="35">
        <f t="shared" si="3"/>
        <v>2500</v>
      </c>
      <c r="F44" s="35">
        <f t="shared" si="4"/>
        <v>17500</v>
      </c>
      <c r="G44" s="43">
        <f t="shared" si="5"/>
        <v>45736</v>
      </c>
      <c r="H44" s="44">
        <f t="shared" si="16"/>
        <v>2025</v>
      </c>
      <c r="I44" s="44">
        <f t="shared" si="6"/>
        <v>1</v>
      </c>
      <c r="J44" s="35">
        <f t="shared" si="7"/>
        <v>76.616045362676857</v>
      </c>
      <c r="K44" s="53"/>
      <c r="L44" s="43">
        <f t="shared" si="8"/>
        <v>44545</v>
      </c>
      <c r="M44" s="35">
        <f t="shared" si="9"/>
        <v>0</v>
      </c>
      <c r="N44" s="35">
        <f t="shared" si="10"/>
        <v>30000</v>
      </c>
      <c r="O44" s="35">
        <f t="shared" si="11"/>
        <v>1.2328767123287672</v>
      </c>
      <c r="P44" s="35">
        <f t="shared" si="12"/>
        <v>2.4657534246575343</v>
      </c>
      <c r="R44" s="43">
        <f t="shared" si="13"/>
        <v>45747</v>
      </c>
      <c r="S44" s="35">
        <f t="shared" si="14"/>
        <v>2500</v>
      </c>
      <c r="T44" s="43">
        <f t="shared" si="15"/>
        <v>45747</v>
      </c>
      <c r="U44" s="35">
        <f t="shared" si="17"/>
        <v>76.616045362676857</v>
      </c>
      <c r="W44" s="42" t="s">
        <v>371</v>
      </c>
      <c r="Y44" s="145" t="s">
        <v>288</v>
      </c>
      <c r="Z44" s="146" t="s">
        <v>259</v>
      </c>
    </row>
    <row r="45" spans="2:26" ht="15" customHeight="1">
      <c r="B45" s="43">
        <f t="shared" si="0"/>
        <v>45838</v>
      </c>
      <c r="C45" s="44">
        <f t="shared" si="1"/>
        <v>2025</v>
      </c>
      <c r="D45" s="44">
        <f t="shared" si="2"/>
        <v>2</v>
      </c>
      <c r="E45" s="35">
        <f t="shared" si="3"/>
        <v>2500</v>
      </c>
      <c r="F45" s="35">
        <f t="shared" si="4"/>
        <v>15000</v>
      </c>
      <c r="G45" s="43">
        <f t="shared" si="5"/>
        <v>45828</v>
      </c>
      <c r="H45" s="44">
        <f t="shared" si="16"/>
        <v>2025</v>
      </c>
      <c r="I45" s="44">
        <f t="shared" si="6"/>
        <v>2</v>
      </c>
      <c r="J45" s="35">
        <f t="shared" si="7"/>
        <v>67.29452054794524</v>
      </c>
      <c r="K45" s="53"/>
      <c r="L45" s="43">
        <f t="shared" si="8"/>
        <v>44546</v>
      </c>
      <c r="M45" s="35">
        <f t="shared" si="9"/>
        <v>0</v>
      </c>
      <c r="N45" s="35">
        <f t="shared" si="10"/>
        <v>30000</v>
      </c>
      <c r="O45" s="35">
        <f t="shared" si="11"/>
        <v>1.2328767123287672</v>
      </c>
      <c r="P45" s="35">
        <f t="shared" si="12"/>
        <v>2.4657534246575343</v>
      </c>
      <c r="R45" s="43">
        <f t="shared" si="13"/>
        <v>45838</v>
      </c>
      <c r="S45" s="35">
        <f t="shared" si="14"/>
        <v>2500</v>
      </c>
      <c r="T45" s="43">
        <f t="shared" si="15"/>
        <v>45838</v>
      </c>
      <c r="U45" s="35">
        <f t="shared" si="17"/>
        <v>67.29452054794524</v>
      </c>
      <c r="W45" s="42" t="s">
        <v>338</v>
      </c>
      <c r="Y45" s="145" t="s">
        <v>308</v>
      </c>
      <c r="Z45" s="146" t="s">
        <v>260</v>
      </c>
    </row>
    <row r="46" spans="2:26" ht="15" customHeight="1">
      <c r="B46" s="43">
        <f t="shared" si="0"/>
        <v>45930</v>
      </c>
      <c r="C46" s="44">
        <f t="shared" si="1"/>
        <v>2025</v>
      </c>
      <c r="D46" s="44">
        <f t="shared" si="2"/>
        <v>3</v>
      </c>
      <c r="E46" s="35">
        <f t="shared" si="3"/>
        <v>2500</v>
      </c>
      <c r="F46" s="35">
        <f t="shared" si="4"/>
        <v>12500</v>
      </c>
      <c r="G46" s="43">
        <f t="shared" si="5"/>
        <v>45920</v>
      </c>
      <c r="H46" s="44">
        <f t="shared" si="16"/>
        <v>2025</v>
      </c>
      <c r="I46" s="44">
        <f t="shared" si="6"/>
        <v>3</v>
      </c>
      <c r="J46" s="35">
        <f t="shared" si="7"/>
        <v>57.739726027397133</v>
      </c>
      <c r="K46" s="53"/>
      <c r="L46" s="43">
        <f t="shared" si="8"/>
        <v>44547</v>
      </c>
      <c r="M46" s="35">
        <f t="shared" si="9"/>
        <v>0</v>
      </c>
      <c r="N46" s="35">
        <f t="shared" si="10"/>
        <v>30000</v>
      </c>
      <c r="O46" s="35">
        <f t="shared" si="11"/>
        <v>1.2328767123287672</v>
      </c>
      <c r="P46" s="35">
        <f t="shared" si="12"/>
        <v>2.4657534246575343</v>
      </c>
      <c r="R46" s="43">
        <f t="shared" si="13"/>
        <v>45930</v>
      </c>
      <c r="S46" s="35">
        <f t="shared" si="14"/>
        <v>2500</v>
      </c>
      <c r="T46" s="43">
        <f t="shared" si="15"/>
        <v>45930</v>
      </c>
      <c r="U46" s="35">
        <f t="shared" si="17"/>
        <v>57.739726027397133</v>
      </c>
      <c r="W46" s="42" t="s">
        <v>372</v>
      </c>
      <c r="Y46" s="145" t="s">
        <v>304</v>
      </c>
      <c r="Z46" s="146" t="s">
        <v>261</v>
      </c>
    </row>
    <row r="47" spans="2:26" ht="15" customHeight="1">
      <c r="B47" s="43">
        <f t="shared" si="0"/>
        <v>46037</v>
      </c>
      <c r="C47" s="44">
        <f t="shared" si="1"/>
        <v>2026</v>
      </c>
      <c r="D47" s="44">
        <f t="shared" si="2"/>
        <v>1</v>
      </c>
      <c r="E47" s="35">
        <f t="shared" si="3"/>
        <v>2500</v>
      </c>
      <c r="F47" s="35">
        <f t="shared" si="4"/>
        <v>10000</v>
      </c>
      <c r="G47" s="43">
        <f t="shared" si="5"/>
        <v>46011</v>
      </c>
      <c r="H47" s="44">
        <f t="shared" si="16"/>
        <v>2025</v>
      </c>
      <c r="I47" s="44">
        <f t="shared" si="6"/>
        <v>4</v>
      </c>
      <c r="J47" s="35">
        <f t="shared" si="7"/>
        <v>47.773972602739697</v>
      </c>
      <c r="K47" s="53"/>
      <c r="L47" s="43">
        <f t="shared" si="8"/>
        <v>44548</v>
      </c>
      <c r="M47" s="35">
        <f t="shared" si="9"/>
        <v>0</v>
      </c>
      <c r="N47" s="35">
        <f t="shared" si="10"/>
        <v>30000</v>
      </c>
      <c r="O47" s="35">
        <f t="shared" si="11"/>
        <v>1.2328767123287672</v>
      </c>
      <c r="P47" s="35">
        <f t="shared" si="12"/>
        <v>2.4657534246575343</v>
      </c>
      <c r="R47" s="43">
        <f t="shared" si="13"/>
        <v>46112</v>
      </c>
      <c r="S47" s="35">
        <f t="shared" si="14"/>
        <v>2500</v>
      </c>
      <c r="T47" s="43">
        <f t="shared" si="15"/>
        <v>46022</v>
      </c>
      <c r="U47" s="35">
        <f t="shared" si="17"/>
        <v>47.773972602739697</v>
      </c>
      <c r="W47" s="42" t="s">
        <v>373</v>
      </c>
      <c r="Y47" s="145" t="s">
        <v>291</v>
      </c>
      <c r="Z47" s="146" t="s">
        <v>262</v>
      </c>
    </row>
    <row r="48" spans="2:26" ht="15" customHeight="1">
      <c r="B48" s="43">
        <f t="shared" si="0"/>
        <v>46112</v>
      </c>
      <c r="C48" s="44">
        <f t="shared" si="1"/>
        <v>2026</v>
      </c>
      <c r="D48" s="44">
        <f t="shared" si="2"/>
        <v>1</v>
      </c>
      <c r="E48" s="35">
        <f t="shared" si="3"/>
        <v>2500</v>
      </c>
      <c r="F48" s="35">
        <f t="shared" si="4"/>
        <v>7500</v>
      </c>
      <c r="G48" s="43">
        <f t="shared" si="5"/>
        <v>46101</v>
      </c>
      <c r="H48" s="44">
        <f t="shared" si="16"/>
        <v>2026</v>
      </c>
      <c r="I48" s="44">
        <f t="shared" si="6"/>
        <v>1</v>
      </c>
      <c r="J48" s="35">
        <f t="shared" si="7"/>
        <v>39.657534246575345</v>
      </c>
      <c r="K48" s="53"/>
      <c r="L48" s="43">
        <f t="shared" si="8"/>
        <v>44549</v>
      </c>
      <c r="M48" s="35">
        <f t="shared" si="9"/>
        <v>0</v>
      </c>
      <c r="N48" s="35">
        <f t="shared" si="10"/>
        <v>30000</v>
      </c>
      <c r="O48" s="35">
        <f t="shared" si="11"/>
        <v>1.2328767123287672</v>
      </c>
      <c r="P48" s="35">
        <f t="shared" si="12"/>
        <v>2.4657534246575343</v>
      </c>
      <c r="R48" s="43">
        <f t="shared" si="13"/>
        <v>46112</v>
      </c>
      <c r="S48" s="35">
        <f t="shared" si="14"/>
        <v>2500</v>
      </c>
      <c r="T48" s="43">
        <f t="shared" si="15"/>
        <v>46112</v>
      </c>
      <c r="U48" s="35">
        <f t="shared" si="17"/>
        <v>39.657534246575345</v>
      </c>
      <c r="W48" s="42" t="s">
        <v>354</v>
      </c>
      <c r="Y48" s="145" t="s">
        <v>309</v>
      </c>
      <c r="Z48" s="146" t="s">
        <v>263</v>
      </c>
    </row>
    <row r="49" spans="2:26" ht="15" customHeight="1">
      <c r="B49" s="43">
        <f t="shared" si="0"/>
        <v>46203</v>
      </c>
      <c r="C49" s="44">
        <f t="shared" si="1"/>
        <v>2026</v>
      </c>
      <c r="D49" s="44">
        <f t="shared" si="2"/>
        <v>2</v>
      </c>
      <c r="E49" s="35">
        <f t="shared" si="3"/>
        <v>2500</v>
      </c>
      <c r="F49" s="35">
        <f t="shared" si="4"/>
        <v>5000</v>
      </c>
      <c r="G49" s="43">
        <f t="shared" si="5"/>
        <v>46193</v>
      </c>
      <c r="H49" s="44">
        <f t="shared" si="16"/>
        <v>2026</v>
      </c>
      <c r="I49" s="44">
        <f t="shared" si="6"/>
        <v>2</v>
      </c>
      <c r="J49" s="35">
        <f t="shared" si="7"/>
        <v>29.486301369862947</v>
      </c>
      <c r="K49" s="53"/>
      <c r="L49" s="43">
        <f t="shared" si="8"/>
        <v>44550</v>
      </c>
      <c r="M49" s="35">
        <f t="shared" si="9"/>
        <v>0</v>
      </c>
      <c r="N49" s="35">
        <f t="shared" si="10"/>
        <v>30000</v>
      </c>
      <c r="O49" s="35">
        <f t="shared" si="11"/>
        <v>1.2328767123287672</v>
      </c>
      <c r="P49" s="35">
        <f t="shared" si="12"/>
        <v>2.4657534246575343</v>
      </c>
      <c r="R49" s="43">
        <f t="shared" si="13"/>
        <v>46203</v>
      </c>
      <c r="S49" s="35">
        <f t="shared" si="14"/>
        <v>2500</v>
      </c>
      <c r="T49" s="43">
        <f t="shared" si="15"/>
        <v>46203</v>
      </c>
      <c r="U49" s="35">
        <f t="shared" si="17"/>
        <v>29.486301369862947</v>
      </c>
      <c r="W49" s="42" t="s">
        <v>340</v>
      </c>
      <c r="Y49" s="145" t="s">
        <v>310</v>
      </c>
      <c r="Z49" s="146" t="s">
        <v>265</v>
      </c>
    </row>
    <row r="50" spans="2:26" ht="15" customHeight="1">
      <c r="B50" s="43">
        <f t="shared" si="0"/>
        <v>46295</v>
      </c>
      <c r="C50" s="44">
        <f t="shared" si="1"/>
        <v>2026</v>
      </c>
      <c r="D50" s="44">
        <f t="shared" si="2"/>
        <v>3</v>
      </c>
      <c r="E50" s="35">
        <f t="shared" si="3"/>
        <v>2500</v>
      </c>
      <c r="F50" s="35">
        <f t="shared" si="4"/>
        <v>2500</v>
      </c>
      <c r="G50" s="43">
        <f t="shared" si="5"/>
        <v>46285</v>
      </c>
      <c r="H50" s="44">
        <f t="shared" si="16"/>
        <v>2026</v>
      </c>
      <c r="I50" s="44">
        <f t="shared" si="6"/>
        <v>3</v>
      </c>
      <c r="J50" s="35">
        <f t="shared" si="7"/>
        <v>19.931506849315081</v>
      </c>
      <c r="K50" s="53"/>
      <c r="L50" s="43">
        <f t="shared" si="8"/>
        <v>44551</v>
      </c>
      <c r="M50" s="35">
        <f t="shared" si="9"/>
        <v>0</v>
      </c>
      <c r="N50" s="35">
        <f t="shared" si="10"/>
        <v>30000</v>
      </c>
      <c r="O50" s="35">
        <f t="shared" si="11"/>
        <v>1.2328767123287672</v>
      </c>
      <c r="P50" s="35">
        <f t="shared" si="12"/>
        <v>2.4657534246575343</v>
      </c>
      <c r="R50" s="43">
        <f t="shared" si="13"/>
        <v>46295</v>
      </c>
      <c r="S50" s="35">
        <f t="shared" si="14"/>
        <v>2500</v>
      </c>
      <c r="T50" s="43">
        <f t="shared" si="15"/>
        <v>46295</v>
      </c>
      <c r="U50" s="35">
        <f t="shared" si="17"/>
        <v>19.931506849315081</v>
      </c>
      <c r="W50" s="42" t="s">
        <v>374</v>
      </c>
      <c r="Y50" s="145" t="s">
        <v>293</v>
      </c>
      <c r="Z50" s="146" t="s">
        <v>266</v>
      </c>
    </row>
    <row r="51" spans="2:26" ht="15" customHeight="1">
      <c r="B51" s="43">
        <f t="shared" si="0"/>
        <v>46357</v>
      </c>
      <c r="C51" s="44">
        <f t="shared" si="1"/>
        <v>2026</v>
      </c>
      <c r="D51" s="44">
        <f t="shared" si="2"/>
        <v>4</v>
      </c>
      <c r="E51" s="35">
        <f t="shared" si="3"/>
        <v>2500</v>
      </c>
      <c r="F51" s="35">
        <f t="shared" si="4"/>
        <v>0</v>
      </c>
      <c r="G51" s="43">
        <f t="shared" si="5"/>
        <v>46357</v>
      </c>
      <c r="H51" s="44">
        <f t="shared" si="16"/>
        <v>2026</v>
      </c>
      <c r="I51" s="44">
        <f t="shared" si="6"/>
        <v>4</v>
      </c>
      <c r="J51" s="35">
        <f t="shared" si="7"/>
        <v>8.4246575342465722</v>
      </c>
      <c r="K51" s="53"/>
      <c r="L51" s="43">
        <f t="shared" si="8"/>
        <v>44552</v>
      </c>
      <c r="M51" s="35">
        <f t="shared" si="9"/>
        <v>0</v>
      </c>
      <c r="N51" s="35">
        <f t="shared" si="10"/>
        <v>30000</v>
      </c>
      <c r="O51" s="35">
        <f t="shared" si="11"/>
        <v>1.2328767123287672</v>
      </c>
      <c r="P51" s="35">
        <f t="shared" si="12"/>
        <v>2.4657534246575343</v>
      </c>
      <c r="R51" s="43">
        <f t="shared" si="13"/>
        <v>46387</v>
      </c>
      <c r="S51" s="35">
        <f t="shared" si="14"/>
        <v>2500</v>
      </c>
      <c r="T51" s="43">
        <f t="shared" si="15"/>
        <v>46387</v>
      </c>
      <c r="U51" s="35">
        <f t="shared" si="17"/>
        <v>8.4246575342465722</v>
      </c>
      <c r="W51" s="42" t="s">
        <v>375</v>
      </c>
      <c r="Y51" s="145" t="s">
        <v>311</v>
      </c>
      <c r="Z51" s="146" t="s">
        <v>267</v>
      </c>
    </row>
    <row r="52" spans="2:26" ht="15" customHeight="1">
      <c r="B52" s="43" t="str">
        <f t="shared" si="0"/>
        <v>-</v>
      </c>
      <c r="C52" s="44" t="str">
        <f t="shared" si="1"/>
        <v>-</v>
      </c>
      <c r="D52" s="44" t="str">
        <f t="shared" si="2"/>
        <v>-</v>
      </c>
      <c r="E52" s="35">
        <f t="shared" si="3"/>
        <v>0</v>
      </c>
      <c r="F52" s="35">
        <f t="shared" si="4"/>
        <v>0</v>
      </c>
      <c r="G52" s="43" t="str">
        <f t="shared" si="5"/>
        <v>-</v>
      </c>
      <c r="H52" s="44" t="str">
        <f t="shared" si="16"/>
        <v>-</v>
      </c>
      <c r="I52" s="44" t="str">
        <f t="shared" si="6"/>
        <v>-</v>
      </c>
      <c r="J52" s="35">
        <f t="shared" si="7"/>
        <v>0</v>
      </c>
      <c r="K52" s="53"/>
      <c r="L52" s="43">
        <f t="shared" si="8"/>
        <v>44553</v>
      </c>
      <c r="M52" s="35">
        <f t="shared" si="9"/>
        <v>0</v>
      </c>
      <c r="N52" s="35">
        <f t="shared" si="10"/>
        <v>30000</v>
      </c>
      <c r="O52" s="35">
        <f t="shared" si="11"/>
        <v>1.2328767123287672</v>
      </c>
      <c r="P52" s="35">
        <f t="shared" si="12"/>
        <v>2.4657534246575343</v>
      </c>
      <c r="R52" s="43" t="e">
        <f t="shared" si="13"/>
        <v>#VALUE!</v>
      </c>
      <c r="S52" s="35">
        <f t="shared" si="14"/>
        <v>0</v>
      </c>
      <c r="T52" s="43" t="e">
        <f t="shared" si="15"/>
        <v>#VALUE!</v>
      </c>
      <c r="U52" s="35">
        <f t="shared" si="17"/>
        <v>0</v>
      </c>
      <c r="W52" s="42" t="s">
        <v>376</v>
      </c>
      <c r="Y52" s="145" t="s">
        <v>294</v>
      </c>
      <c r="Z52" s="146" t="s">
        <v>268</v>
      </c>
    </row>
    <row r="53" spans="2:26" ht="15" customHeight="1">
      <c r="B53" s="43" t="str">
        <f t="shared" si="0"/>
        <v>-</v>
      </c>
      <c r="C53" s="44" t="str">
        <f t="shared" si="1"/>
        <v>-</v>
      </c>
      <c r="D53" s="44" t="str">
        <f t="shared" si="2"/>
        <v>-</v>
      </c>
      <c r="E53" s="35">
        <f t="shared" si="3"/>
        <v>0</v>
      </c>
      <c r="F53" s="35">
        <f t="shared" si="4"/>
        <v>0</v>
      </c>
      <c r="G53" s="43" t="str">
        <f t="shared" si="5"/>
        <v>-</v>
      </c>
      <c r="H53" s="44" t="str">
        <f t="shared" si="16"/>
        <v>-</v>
      </c>
      <c r="I53" s="44" t="str">
        <f t="shared" si="6"/>
        <v>-</v>
      </c>
      <c r="J53" s="35">
        <f t="shared" si="7"/>
        <v>0</v>
      </c>
      <c r="K53" s="53"/>
      <c r="L53" s="43">
        <f t="shared" si="8"/>
        <v>44554</v>
      </c>
      <c r="M53" s="35">
        <f t="shared" si="9"/>
        <v>0</v>
      </c>
      <c r="N53" s="35">
        <f t="shared" si="10"/>
        <v>30000</v>
      </c>
      <c r="O53" s="35">
        <f t="shared" si="11"/>
        <v>1.2328767123287672</v>
      </c>
      <c r="P53" s="35">
        <f t="shared" si="12"/>
        <v>2.4657534246575343</v>
      </c>
      <c r="R53" s="43" t="e">
        <f t="shared" si="13"/>
        <v>#VALUE!</v>
      </c>
      <c r="S53" s="35">
        <f t="shared" si="14"/>
        <v>0</v>
      </c>
      <c r="T53" s="43" t="e">
        <f t="shared" si="15"/>
        <v>#VALUE!</v>
      </c>
      <c r="U53" s="35">
        <f t="shared" si="17"/>
        <v>0</v>
      </c>
      <c r="W53" s="42" t="s">
        <v>355</v>
      </c>
      <c r="Y53" s="145" t="s">
        <v>295</v>
      </c>
      <c r="Z53" s="146" t="s">
        <v>269</v>
      </c>
    </row>
    <row r="54" spans="2:26" ht="15" customHeight="1">
      <c r="B54" s="43" t="str">
        <f t="shared" si="0"/>
        <v>-</v>
      </c>
      <c r="C54" s="44" t="str">
        <f t="shared" si="1"/>
        <v>-</v>
      </c>
      <c r="D54" s="44" t="str">
        <f t="shared" si="2"/>
        <v>-</v>
      </c>
      <c r="E54" s="35">
        <f t="shared" si="3"/>
        <v>0</v>
      </c>
      <c r="F54" s="35">
        <f t="shared" si="4"/>
        <v>0</v>
      </c>
      <c r="G54" s="43" t="str">
        <f t="shared" si="5"/>
        <v>-</v>
      </c>
      <c r="H54" s="44" t="str">
        <f t="shared" si="16"/>
        <v>-</v>
      </c>
      <c r="I54" s="44" t="str">
        <f t="shared" si="6"/>
        <v>-</v>
      </c>
      <c r="J54" s="35">
        <f t="shared" si="7"/>
        <v>0</v>
      </c>
      <c r="K54" s="53"/>
      <c r="L54" s="43">
        <f t="shared" si="8"/>
        <v>44555</v>
      </c>
      <c r="M54" s="35">
        <f t="shared" si="9"/>
        <v>0</v>
      </c>
      <c r="N54" s="35">
        <f t="shared" si="10"/>
        <v>30000</v>
      </c>
      <c r="O54" s="35">
        <f t="shared" si="11"/>
        <v>1.2328767123287672</v>
      </c>
      <c r="P54" s="35">
        <f t="shared" si="12"/>
        <v>2.4657534246575343</v>
      </c>
      <c r="R54" s="43" t="e">
        <f t="shared" si="13"/>
        <v>#VALUE!</v>
      </c>
      <c r="S54" s="35">
        <f t="shared" si="14"/>
        <v>0</v>
      </c>
      <c r="T54" s="43" t="e">
        <f t="shared" si="15"/>
        <v>#VALUE!</v>
      </c>
      <c r="U54" s="35">
        <f t="shared" si="17"/>
        <v>0</v>
      </c>
      <c r="W54" s="42" t="s">
        <v>356</v>
      </c>
      <c r="Y54" s="145" t="s">
        <v>296</v>
      </c>
      <c r="Z54" s="146" t="s">
        <v>270</v>
      </c>
    </row>
    <row r="55" spans="2:26" ht="15" customHeight="1">
      <c r="B55" s="43" t="str">
        <f t="shared" si="0"/>
        <v>-</v>
      </c>
      <c r="C55" s="44" t="str">
        <f t="shared" si="1"/>
        <v>-</v>
      </c>
      <c r="D55" s="44" t="str">
        <f t="shared" si="2"/>
        <v>-</v>
      </c>
      <c r="E55" s="35">
        <f t="shared" si="3"/>
        <v>0</v>
      </c>
      <c r="F55" s="35">
        <f t="shared" si="4"/>
        <v>0</v>
      </c>
      <c r="G55" s="43" t="str">
        <f t="shared" si="5"/>
        <v>-</v>
      </c>
      <c r="H55" s="44" t="str">
        <f t="shared" si="16"/>
        <v>-</v>
      </c>
      <c r="I55" s="44" t="str">
        <f t="shared" si="6"/>
        <v>-</v>
      </c>
      <c r="J55" s="35">
        <f t="shared" si="7"/>
        <v>0</v>
      </c>
      <c r="K55" s="53"/>
      <c r="L55" s="43">
        <f t="shared" si="8"/>
        <v>44556</v>
      </c>
      <c r="M55" s="35">
        <f t="shared" si="9"/>
        <v>0</v>
      </c>
      <c r="N55" s="35">
        <f t="shared" si="10"/>
        <v>30000</v>
      </c>
      <c r="O55" s="35">
        <f t="shared" si="11"/>
        <v>1.2328767123287672</v>
      </c>
      <c r="P55" s="35">
        <f t="shared" si="12"/>
        <v>2.4657534246575343</v>
      </c>
      <c r="R55" s="43" t="e">
        <f t="shared" si="13"/>
        <v>#VALUE!</v>
      </c>
      <c r="S55" s="35">
        <f t="shared" si="14"/>
        <v>0</v>
      </c>
      <c r="T55" s="43" t="e">
        <f t="shared" si="15"/>
        <v>#VALUE!</v>
      </c>
      <c r="U55" s="35">
        <f t="shared" si="17"/>
        <v>0</v>
      </c>
      <c r="W55" s="42" t="s">
        <v>377</v>
      </c>
      <c r="Y55" s="145" t="s">
        <v>312</v>
      </c>
      <c r="Z55" s="146" t="s">
        <v>271</v>
      </c>
    </row>
    <row r="56" spans="2:26" ht="15" customHeight="1">
      <c r="B56" s="43" t="str">
        <f t="shared" si="0"/>
        <v>-</v>
      </c>
      <c r="C56" s="44" t="str">
        <f t="shared" si="1"/>
        <v>-</v>
      </c>
      <c r="D56" s="44" t="str">
        <f t="shared" si="2"/>
        <v>-</v>
      </c>
      <c r="E56" s="35">
        <f t="shared" si="3"/>
        <v>0</v>
      </c>
      <c r="F56" s="35">
        <f t="shared" si="4"/>
        <v>0</v>
      </c>
      <c r="G56" s="43" t="str">
        <f t="shared" si="5"/>
        <v>-</v>
      </c>
      <c r="H56" s="44" t="str">
        <f t="shared" si="16"/>
        <v>-</v>
      </c>
      <c r="I56" s="44" t="str">
        <f t="shared" si="6"/>
        <v>-</v>
      </c>
      <c r="J56" s="35">
        <f t="shared" si="7"/>
        <v>0</v>
      </c>
      <c r="K56" s="53"/>
      <c r="L56" s="43">
        <f t="shared" si="8"/>
        <v>44557</v>
      </c>
      <c r="M56" s="35">
        <f t="shared" si="9"/>
        <v>0</v>
      </c>
      <c r="N56" s="35">
        <f t="shared" si="10"/>
        <v>30000</v>
      </c>
      <c r="O56" s="35">
        <f t="shared" si="11"/>
        <v>1.2328767123287672</v>
      </c>
      <c r="P56" s="35">
        <f t="shared" si="12"/>
        <v>2.4657534246575343</v>
      </c>
      <c r="R56" s="43" t="e">
        <f t="shared" si="13"/>
        <v>#VALUE!</v>
      </c>
      <c r="S56" s="35">
        <f t="shared" si="14"/>
        <v>0</v>
      </c>
      <c r="T56" s="43" t="e">
        <f t="shared" si="15"/>
        <v>#VALUE!</v>
      </c>
      <c r="U56" s="35">
        <f t="shared" si="17"/>
        <v>0</v>
      </c>
      <c r="W56" s="42" t="s">
        <v>378</v>
      </c>
      <c r="Y56" s="145" t="s">
        <v>313</v>
      </c>
      <c r="Z56" s="146" t="s">
        <v>272</v>
      </c>
    </row>
    <row r="57" spans="2:26" ht="15" customHeight="1">
      <c r="B57" s="43" t="str">
        <f t="shared" si="0"/>
        <v>-</v>
      </c>
      <c r="C57" s="44" t="str">
        <f t="shared" si="1"/>
        <v>-</v>
      </c>
      <c r="D57" s="44" t="str">
        <f t="shared" si="2"/>
        <v>-</v>
      </c>
      <c r="E57" s="35">
        <f t="shared" si="3"/>
        <v>0</v>
      </c>
      <c r="F57" s="35">
        <f t="shared" si="4"/>
        <v>0</v>
      </c>
      <c r="G57" s="43" t="str">
        <f t="shared" si="5"/>
        <v>-</v>
      </c>
      <c r="H57" s="44" t="str">
        <f t="shared" si="16"/>
        <v>-</v>
      </c>
      <c r="I57" s="44" t="str">
        <f t="shared" si="6"/>
        <v>-</v>
      </c>
      <c r="J57" s="35">
        <f t="shared" si="7"/>
        <v>0</v>
      </c>
      <c r="K57" s="53"/>
      <c r="L57" s="43">
        <f t="shared" si="8"/>
        <v>44558</v>
      </c>
      <c r="M57" s="35">
        <f t="shared" si="9"/>
        <v>0</v>
      </c>
      <c r="N57" s="35">
        <f t="shared" si="10"/>
        <v>30000</v>
      </c>
      <c r="O57" s="35">
        <f t="shared" si="11"/>
        <v>1.2328767123287672</v>
      </c>
      <c r="P57" s="35">
        <f t="shared" si="12"/>
        <v>2.4657534246575343</v>
      </c>
      <c r="R57" s="43" t="e">
        <f t="shared" si="13"/>
        <v>#VALUE!</v>
      </c>
      <c r="S57" s="35">
        <f t="shared" si="14"/>
        <v>0</v>
      </c>
      <c r="T57" s="43" t="e">
        <f t="shared" si="15"/>
        <v>#VALUE!</v>
      </c>
      <c r="U57" s="35">
        <f t="shared" si="17"/>
        <v>0</v>
      </c>
      <c r="W57" s="42" t="s">
        <v>379</v>
      </c>
      <c r="Y57" s="145" t="s">
        <v>314</v>
      </c>
      <c r="Z57" s="146" t="s">
        <v>273</v>
      </c>
    </row>
    <row r="58" spans="2:26" ht="15" customHeight="1">
      <c r="B58" s="43" t="str">
        <f t="shared" si="0"/>
        <v>-</v>
      </c>
      <c r="C58" s="44" t="str">
        <f t="shared" si="1"/>
        <v>-</v>
      </c>
      <c r="D58" s="44" t="str">
        <f t="shared" si="2"/>
        <v>-</v>
      </c>
      <c r="E58" s="35">
        <f t="shared" si="3"/>
        <v>0</v>
      </c>
      <c r="F58" s="35">
        <f t="shared" si="4"/>
        <v>0</v>
      </c>
      <c r="G58" s="43" t="str">
        <f t="shared" si="5"/>
        <v>-</v>
      </c>
      <c r="H58" s="44" t="str">
        <f t="shared" si="16"/>
        <v>-</v>
      </c>
      <c r="I58" s="44" t="str">
        <f t="shared" si="6"/>
        <v>-</v>
      </c>
      <c r="J58" s="35">
        <f t="shared" si="7"/>
        <v>0</v>
      </c>
      <c r="K58" s="53"/>
      <c r="L58" s="43">
        <f t="shared" si="8"/>
        <v>44559</v>
      </c>
      <c r="M58" s="35">
        <f t="shared" si="9"/>
        <v>0</v>
      </c>
      <c r="N58" s="35">
        <f t="shared" si="10"/>
        <v>30000</v>
      </c>
      <c r="O58" s="35">
        <f t="shared" si="11"/>
        <v>1.2328767123287672</v>
      </c>
      <c r="P58" s="35">
        <f t="shared" si="12"/>
        <v>2.4657534246575343</v>
      </c>
      <c r="R58" s="43" t="e">
        <f t="shared" si="13"/>
        <v>#VALUE!</v>
      </c>
      <c r="S58" s="35">
        <f t="shared" si="14"/>
        <v>0</v>
      </c>
      <c r="T58" s="43" t="e">
        <f t="shared" si="15"/>
        <v>#VALUE!</v>
      </c>
      <c r="U58" s="35">
        <f t="shared" si="17"/>
        <v>0</v>
      </c>
      <c r="W58" s="42" t="s">
        <v>380</v>
      </c>
      <c r="Y58" s="145" t="s">
        <v>300</v>
      </c>
      <c r="Z58" s="146" t="s">
        <v>274</v>
      </c>
    </row>
    <row r="59" spans="2:26" ht="15" customHeight="1">
      <c r="B59" s="43" t="str">
        <f t="shared" si="0"/>
        <v>-</v>
      </c>
      <c r="C59" s="44" t="str">
        <f>IFERROR(YEAR(B59),"-")</f>
        <v>-</v>
      </c>
      <c r="D59" s="44" t="str">
        <f t="shared" si="2"/>
        <v>-</v>
      </c>
      <c r="E59" s="35">
        <f t="shared" si="3"/>
        <v>0</v>
      </c>
      <c r="F59" s="35">
        <f t="shared" si="4"/>
        <v>0</v>
      </c>
      <c r="G59" s="43" t="str">
        <f t="shared" si="5"/>
        <v>-</v>
      </c>
      <c r="H59" s="44" t="str">
        <f>IFERROR(YEAR(G59),"-")</f>
        <v>-</v>
      </c>
      <c r="I59" s="44" t="str">
        <f t="shared" si="6"/>
        <v>-</v>
      </c>
      <c r="J59" s="35">
        <f t="shared" si="7"/>
        <v>0</v>
      </c>
      <c r="K59" s="53"/>
      <c r="L59" s="43">
        <f t="shared" si="8"/>
        <v>44560</v>
      </c>
      <c r="M59" s="35">
        <f t="shared" si="9"/>
        <v>0</v>
      </c>
      <c r="N59" s="35">
        <f t="shared" si="10"/>
        <v>30000</v>
      </c>
      <c r="O59" s="35">
        <f t="shared" si="11"/>
        <v>1.2328767123287672</v>
      </c>
      <c r="P59" s="35">
        <f t="shared" si="12"/>
        <v>2.4657534246575343</v>
      </c>
      <c r="R59" s="43" t="e">
        <f t="shared" si="13"/>
        <v>#VALUE!</v>
      </c>
      <c r="S59" s="35">
        <f t="shared" si="14"/>
        <v>0</v>
      </c>
      <c r="T59" s="43" t="e">
        <f t="shared" si="15"/>
        <v>#VALUE!</v>
      </c>
      <c r="U59" s="35">
        <f t="shared" si="17"/>
        <v>0</v>
      </c>
      <c r="W59" s="42" t="s">
        <v>381</v>
      </c>
      <c r="Y59" s="145" t="s">
        <v>301</v>
      </c>
      <c r="Z59" s="146" t="s">
        <v>276</v>
      </c>
    </row>
    <row r="60" spans="2:26" ht="15" customHeight="1">
      <c r="E60" s="45">
        <f>SUM(E31:E59)</f>
        <v>30000</v>
      </c>
      <c r="J60" s="45">
        <f>SUM(J31:J59)</f>
        <v>1667.312205254882</v>
      </c>
      <c r="L60" s="43">
        <f t="shared" si="8"/>
        <v>44561</v>
      </c>
      <c r="M60" s="35">
        <f t="shared" si="9"/>
        <v>0</v>
      </c>
      <c r="N60" s="35">
        <f t="shared" si="10"/>
        <v>30000</v>
      </c>
      <c r="O60" s="35">
        <f t="shared" si="11"/>
        <v>1.2328767123287672</v>
      </c>
      <c r="P60" s="35">
        <f t="shared" si="12"/>
        <v>2.4657534246575343</v>
      </c>
      <c r="R60" s="43"/>
      <c r="S60" s="35"/>
      <c r="T60" s="35"/>
      <c r="U60" s="35"/>
      <c r="W60" s="42" t="s">
        <v>413</v>
      </c>
      <c r="Y60" s="145" t="s">
        <v>302</v>
      </c>
      <c r="Z60" s="146" t="s">
        <v>277</v>
      </c>
    </row>
    <row r="61" spans="2:26" ht="15" customHeight="1">
      <c r="L61" s="43">
        <f t="shared" si="8"/>
        <v>44562</v>
      </c>
      <c r="M61" s="35">
        <f t="shared" si="9"/>
        <v>0</v>
      </c>
      <c r="N61" s="35">
        <f t="shared" si="10"/>
        <v>30000</v>
      </c>
      <c r="O61" s="35">
        <f t="shared" si="11"/>
        <v>1.2328767123287672</v>
      </c>
      <c r="P61" s="35">
        <f t="shared" si="12"/>
        <v>2.4657534246575343</v>
      </c>
      <c r="W61" s="42" t="s">
        <v>382</v>
      </c>
      <c r="Y61" s="145" t="s">
        <v>303</v>
      </c>
      <c r="Z61" s="146" t="s">
        <v>279</v>
      </c>
    </row>
    <row r="62" spans="2:26" ht="15" hidden="1" customHeight="1">
      <c r="L62" s="43">
        <f t="shared" si="8"/>
        <v>44563</v>
      </c>
      <c r="M62" s="35">
        <f t="shared" si="9"/>
        <v>0</v>
      </c>
      <c r="N62" s="35">
        <f t="shared" si="10"/>
        <v>30000</v>
      </c>
      <c r="O62" s="35">
        <f t="shared" si="11"/>
        <v>1.2328767123287672</v>
      </c>
      <c r="P62" s="35">
        <f t="shared" si="12"/>
        <v>2.4657534246575343</v>
      </c>
      <c r="W62" s="42" t="s">
        <v>383</v>
      </c>
      <c r="Y62" s="145" t="s">
        <v>315</v>
      </c>
      <c r="Z62" s="146" t="s">
        <v>280</v>
      </c>
    </row>
    <row r="63" spans="2:26" ht="15" hidden="1" customHeight="1">
      <c r="L63" s="43">
        <f t="shared" si="8"/>
        <v>44564</v>
      </c>
      <c r="M63" s="35">
        <f t="shared" si="9"/>
        <v>0</v>
      </c>
      <c r="N63" s="35">
        <f t="shared" si="10"/>
        <v>30000</v>
      </c>
      <c r="O63" s="35">
        <f t="shared" si="11"/>
        <v>1.2328767123287672</v>
      </c>
      <c r="P63" s="35">
        <f t="shared" si="12"/>
        <v>2.4657534246575343</v>
      </c>
      <c r="W63" s="42" t="s">
        <v>408</v>
      </c>
    </row>
    <row r="64" spans="2:26" ht="15" hidden="1" customHeight="1">
      <c r="L64" s="43">
        <f t="shared" si="8"/>
        <v>44565</v>
      </c>
      <c r="M64" s="35">
        <f t="shared" si="9"/>
        <v>0</v>
      </c>
      <c r="N64" s="35">
        <f t="shared" si="10"/>
        <v>30000</v>
      </c>
      <c r="O64" s="35">
        <f t="shared" si="11"/>
        <v>1.2328767123287672</v>
      </c>
      <c r="P64" s="35">
        <f t="shared" si="12"/>
        <v>2.4657534246575343</v>
      </c>
      <c r="W64" s="42" t="s">
        <v>384</v>
      </c>
    </row>
    <row r="65" spans="12:23" ht="15" hidden="1" customHeight="1">
      <c r="L65" s="43">
        <f t="shared" si="8"/>
        <v>44566</v>
      </c>
      <c r="M65" s="35">
        <f t="shared" si="9"/>
        <v>0</v>
      </c>
      <c r="N65" s="35">
        <f t="shared" si="10"/>
        <v>30000</v>
      </c>
      <c r="O65" s="35">
        <f t="shared" si="11"/>
        <v>1.2328767123287672</v>
      </c>
      <c r="P65" s="35">
        <f t="shared" si="12"/>
        <v>2.4657534246575343</v>
      </c>
      <c r="W65" s="42" t="s">
        <v>385</v>
      </c>
    </row>
    <row r="66" spans="12:23" ht="15" hidden="1" customHeight="1">
      <c r="L66" s="43">
        <f t="shared" si="8"/>
        <v>44567</v>
      </c>
      <c r="M66" s="35">
        <f t="shared" si="9"/>
        <v>0</v>
      </c>
      <c r="N66" s="35">
        <f t="shared" si="10"/>
        <v>30000</v>
      </c>
      <c r="O66" s="35">
        <f t="shared" si="11"/>
        <v>1.2328767123287672</v>
      </c>
      <c r="P66" s="35">
        <f t="shared" si="12"/>
        <v>2.4657534246575343</v>
      </c>
      <c r="W66" s="42" t="s">
        <v>386</v>
      </c>
    </row>
    <row r="67" spans="12:23" ht="15" hidden="1" customHeight="1">
      <c r="L67" s="43">
        <f t="shared" si="8"/>
        <v>44568</v>
      </c>
      <c r="M67" s="35">
        <f t="shared" si="9"/>
        <v>0</v>
      </c>
      <c r="N67" s="35">
        <f t="shared" si="10"/>
        <v>30000</v>
      </c>
      <c r="O67" s="35">
        <f t="shared" si="11"/>
        <v>1.2328767123287672</v>
      </c>
      <c r="P67" s="35">
        <f t="shared" si="12"/>
        <v>2.4657534246575343</v>
      </c>
      <c r="W67" s="42" t="s">
        <v>387</v>
      </c>
    </row>
    <row r="68" spans="12:23" ht="15" hidden="1" customHeight="1">
      <c r="L68" s="43">
        <f t="shared" si="8"/>
        <v>44569</v>
      </c>
      <c r="M68" s="35">
        <f t="shared" si="9"/>
        <v>0</v>
      </c>
      <c r="N68" s="35">
        <f t="shared" si="10"/>
        <v>30000</v>
      </c>
      <c r="O68" s="35">
        <f t="shared" si="11"/>
        <v>1.2328767123287672</v>
      </c>
      <c r="P68" s="35">
        <f t="shared" si="12"/>
        <v>2.4657534246575343</v>
      </c>
      <c r="W68" s="42" t="s">
        <v>388</v>
      </c>
    </row>
    <row r="69" spans="12:23" ht="15" hidden="1" customHeight="1">
      <c r="L69" s="43">
        <f t="shared" si="8"/>
        <v>44570</v>
      </c>
      <c r="M69" s="35">
        <f t="shared" si="9"/>
        <v>0</v>
      </c>
      <c r="N69" s="35">
        <f t="shared" si="10"/>
        <v>30000</v>
      </c>
      <c r="O69" s="35">
        <f t="shared" si="11"/>
        <v>1.2328767123287672</v>
      </c>
      <c r="P69" s="35">
        <f t="shared" si="12"/>
        <v>2.4657534246575343</v>
      </c>
      <c r="W69" s="42" t="s">
        <v>389</v>
      </c>
    </row>
    <row r="70" spans="12:23" ht="15" hidden="1" customHeight="1">
      <c r="L70" s="43">
        <f t="shared" si="8"/>
        <v>44571</v>
      </c>
      <c r="M70" s="35">
        <f t="shared" si="9"/>
        <v>0</v>
      </c>
      <c r="N70" s="35">
        <f t="shared" si="10"/>
        <v>30000</v>
      </c>
      <c r="O70" s="35">
        <f t="shared" si="11"/>
        <v>1.2328767123287672</v>
      </c>
      <c r="P70" s="35">
        <f t="shared" si="12"/>
        <v>2.4657534246575343</v>
      </c>
      <c r="W70" s="42" t="s">
        <v>390</v>
      </c>
    </row>
    <row r="71" spans="12:23" ht="15" hidden="1" customHeight="1">
      <c r="L71" s="43">
        <f t="shared" si="8"/>
        <v>44572</v>
      </c>
      <c r="M71" s="35">
        <f t="shared" si="9"/>
        <v>0</v>
      </c>
      <c r="N71" s="35">
        <f t="shared" si="10"/>
        <v>30000</v>
      </c>
      <c r="O71" s="35">
        <f t="shared" si="11"/>
        <v>1.2328767123287672</v>
      </c>
      <c r="P71" s="35">
        <f t="shared" si="12"/>
        <v>2.4657534246575343</v>
      </c>
      <c r="W71" s="42" t="s">
        <v>357</v>
      </c>
    </row>
    <row r="72" spans="12:23" ht="15" hidden="1" customHeight="1">
      <c r="L72" s="43">
        <f t="shared" si="8"/>
        <v>44573</v>
      </c>
      <c r="M72" s="35">
        <f t="shared" si="9"/>
        <v>0</v>
      </c>
      <c r="N72" s="35">
        <f t="shared" si="10"/>
        <v>30000</v>
      </c>
      <c r="O72" s="35">
        <f t="shared" si="11"/>
        <v>1.2328767123287672</v>
      </c>
      <c r="P72" s="35">
        <f t="shared" si="12"/>
        <v>2.4657534246575343</v>
      </c>
      <c r="W72" s="42" t="s">
        <v>358</v>
      </c>
    </row>
    <row r="73" spans="12:23" ht="15" hidden="1" customHeight="1">
      <c r="L73" s="43">
        <f t="shared" si="8"/>
        <v>44574</v>
      </c>
      <c r="M73" s="35">
        <f t="shared" si="9"/>
        <v>0</v>
      </c>
      <c r="N73" s="35">
        <f t="shared" si="10"/>
        <v>30000</v>
      </c>
      <c r="O73" s="35">
        <f t="shared" si="11"/>
        <v>1.2328767123287672</v>
      </c>
      <c r="P73" s="35">
        <f t="shared" si="12"/>
        <v>2.4657534246575343</v>
      </c>
      <c r="W73" s="42" t="s">
        <v>391</v>
      </c>
    </row>
    <row r="74" spans="12:23" ht="15" hidden="1" customHeight="1">
      <c r="L74" s="43">
        <f t="shared" si="8"/>
        <v>44575</v>
      </c>
      <c r="M74" s="35">
        <f t="shared" si="9"/>
        <v>0</v>
      </c>
      <c r="N74" s="35">
        <f t="shared" si="10"/>
        <v>30000</v>
      </c>
      <c r="O74" s="35">
        <f t="shared" si="11"/>
        <v>1.2328767123287672</v>
      </c>
      <c r="P74" s="35">
        <f t="shared" si="12"/>
        <v>2.4657534246575343</v>
      </c>
      <c r="W74" s="147" t="s">
        <v>416</v>
      </c>
    </row>
    <row r="75" spans="12:23" ht="15" hidden="1" customHeight="1">
      <c r="L75" s="43">
        <f t="shared" si="8"/>
        <v>44576</v>
      </c>
      <c r="M75" s="35">
        <f t="shared" si="9"/>
        <v>0</v>
      </c>
      <c r="N75" s="35">
        <f t="shared" si="10"/>
        <v>30000</v>
      </c>
      <c r="O75" s="35">
        <f t="shared" si="11"/>
        <v>1.2328767123287672</v>
      </c>
      <c r="P75" s="35">
        <f t="shared" si="12"/>
        <v>2.4657534246575343</v>
      </c>
      <c r="W75" s="42" t="s">
        <v>333</v>
      </c>
    </row>
    <row r="76" spans="12:23" ht="15" hidden="1" customHeight="1">
      <c r="L76" s="43">
        <f t="shared" si="8"/>
        <v>44577</v>
      </c>
      <c r="M76" s="35">
        <f t="shared" si="9"/>
        <v>0</v>
      </c>
      <c r="N76" s="35">
        <f t="shared" si="10"/>
        <v>30000</v>
      </c>
      <c r="O76" s="35">
        <f t="shared" si="11"/>
        <v>1.2328767123287672</v>
      </c>
      <c r="P76" s="35">
        <f t="shared" si="12"/>
        <v>2.4657534246575343</v>
      </c>
      <c r="W76" s="42" t="s">
        <v>334</v>
      </c>
    </row>
    <row r="77" spans="12:23" ht="15" hidden="1" customHeight="1">
      <c r="L77" s="43">
        <f t="shared" si="8"/>
        <v>44578</v>
      </c>
      <c r="M77" s="35">
        <f t="shared" si="9"/>
        <v>0</v>
      </c>
      <c r="N77" s="35">
        <f t="shared" si="10"/>
        <v>30000</v>
      </c>
      <c r="O77" s="35">
        <f t="shared" si="11"/>
        <v>1.2328767123287672</v>
      </c>
      <c r="P77" s="35">
        <f t="shared" si="12"/>
        <v>2.4657534246575343</v>
      </c>
      <c r="W77" s="42" t="s">
        <v>335</v>
      </c>
    </row>
    <row r="78" spans="12:23" ht="15" hidden="1" customHeight="1">
      <c r="L78" s="43">
        <f t="shared" si="8"/>
        <v>44579</v>
      </c>
      <c r="M78" s="35">
        <f t="shared" si="9"/>
        <v>0</v>
      </c>
      <c r="N78" s="35">
        <f t="shared" si="10"/>
        <v>30000</v>
      </c>
      <c r="O78" s="35">
        <f t="shared" si="11"/>
        <v>1.2328767123287672</v>
      </c>
      <c r="P78" s="35">
        <f t="shared" si="12"/>
        <v>2.4657534246575343</v>
      </c>
      <c r="W78" s="42" t="s">
        <v>336</v>
      </c>
    </row>
    <row r="79" spans="12:23" ht="15" hidden="1" customHeight="1">
      <c r="L79" s="43">
        <f t="shared" si="8"/>
        <v>44580</v>
      </c>
      <c r="M79" s="35">
        <f t="shared" si="9"/>
        <v>0</v>
      </c>
      <c r="N79" s="35">
        <f t="shared" si="10"/>
        <v>30000</v>
      </c>
      <c r="O79" s="35">
        <f t="shared" si="11"/>
        <v>1.2328767123287672</v>
      </c>
      <c r="P79" s="35">
        <f t="shared" si="12"/>
        <v>2.4657534246575343</v>
      </c>
      <c r="W79" s="42" t="s">
        <v>337</v>
      </c>
    </row>
    <row r="80" spans="12:23" ht="15" hidden="1" customHeight="1">
      <c r="L80" s="43">
        <f t="shared" si="8"/>
        <v>44581</v>
      </c>
      <c r="M80" s="35">
        <f t="shared" si="9"/>
        <v>0</v>
      </c>
      <c r="N80" s="35">
        <f t="shared" si="10"/>
        <v>30000</v>
      </c>
      <c r="O80" s="35">
        <f t="shared" si="11"/>
        <v>1.2328767123287672</v>
      </c>
      <c r="P80" s="35">
        <f t="shared" si="12"/>
        <v>2.4657534246575343</v>
      </c>
      <c r="W80" s="42" t="s">
        <v>339</v>
      </c>
    </row>
    <row r="81" spans="12:23" ht="15" hidden="1" customHeight="1">
      <c r="L81" s="43">
        <f t="shared" si="8"/>
        <v>44582</v>
      </c>
      <c r="M81" s="35">
        <f t="shared" si="9"/>
        <v>0</v>
      </c>
      <c r="N81" s="35">
        <f t="shared" si="10"/>
        <v>30000</v>
      </c>
      <c r="O81" s="35">
        <f t="shared" si="11"/>
        <v>1.2328767123287672</v>
      </c>
      <c r="P81" s="35">
        <f t="shared" si="12"/>
        <v>2.4657534246575343</v>
      </c>
      <c r="W81" s="42" t="s">
        <v>341</v>
      </c>
    </row>
    <row r="82" spans="12:23" ht="15" hidden="1" customHeight="1">
      <c r="L82" s="43">
        <f t="shared" si="8"/>
        <v>44583</v>
      </c>
      <c r="M82" s="35">
        <f t="shared" si="9"/>
        <v>0</v>
      </c>
      <c r="N82" s="35">
        <f t="shared" si="10"/>
        <v>30000</v>
      </c>
      <c r="O82" s="35">
        <f t="shared" si="11"/>
        <v>1.2328767123287672</v>
      </c>
      <c r="P82" s="35">
        <f t="shared" si="12"/>
        <v>2.4657534246575343</v>
      </c>
      <c r="W82" s="42" t="s">
        <v>342</v>
      </c>
    </row>
    <row r="83" spans="12:23" ht="15" hidden="1" customHeight="1">
      <c r="L83" s="43">
        <f t="shared" si="8"/>
        <v>44584</v>
      </c>
      <c r="M83" s="35">
        <f t="shared" si="9"/>
        <v>0</v>
      </c>
      <c r="N83" s="35">
        <f t="shared" si="10"/>
        <v>30000</v>
      </c>
      <c r="O83" s="35">
        <f t="shared" si="11"/>
        <v>1.2328767123287672</v>
      </c>
      <c r="P83" s="35">
        <f t="shared" si="12"/>
        <v>2.4657534246575343</v>
      </c>
      <c r="W83" s="42" t="s">
        <v>343</v>
      </c>
    </row>
    <row r="84" spans="12:23" ht="15" hidden="1" customHeight="1">
      <c r="L84" s="43">
        <f t="shared" si="8"/>
        <v>44585</v>
      </c>
      <c r="M84" s="35">
        <f t="shared" si="9"/>
        <v>0</v>
      </c>
      <c r="N84" s="35">
        <f t="shared" si="10"/>
        <v>30000</v>
      </c>
      <c r="O84" s="35">
        <f t="shared" si="11"/>
        <v>1.2328767123287672</v>
      </c>
      <c r="P84" s="35">
        <f t="shared" si="12"/>
        <v>2.4657534246575343</v>
      </c>
      <c r="W84" s="42" t="s">
        <v>344</v>
      </c>
    </row>
    <row r="85" spans="12:23" ht="15" hidden="1" customHeight="1">
      <c r="L85" s="43">
        <f t="shared" si="8"/>
        <v>44586</v>
      </c>
      <c r="M85" s="35">
        <f t="shared" si="9"/>
        <v>0</v>
      </c>
      <c r="N85" s="35">
        <f t="shared" si="10"/>
        <v>30000</v>
      </c>
      <c r="O85" s="35">
        <f t="shared" si="11"/>
        <v>1.2328767123287672</v>
      </c>
      <c r="P85" s="35">
        <f t="shared" si="12"/>
        <v>2.4657534246575343</v>
      </c>
      <c r="W85" s="42" t="s">
        <v>345</v>
      </c>
    </row>
    <row r="86" spans="12:23" ht="15" hidden="1" customHeight="1">
      <c r="L86" s="43">
        <f t="shared" si="8"/>
        <v>44587</v>
      </c>
      <c r="M86" s="35">
        <f t="shared" si="9"/>
        <v>0</v>
      </c>
      <c r="N86" s="35">
        <f t="shared" si="10"/>
        <v>30000</v>
      </c>
      <c r="O86" s="35">
        <f t="shared" si="11"/>
        <v>1.2328767123287672</v>
      </c>
      <c r="P86" s="35">
        <f t="shared" si="12"/>
        <v>2.4657534246575343</v>
      </c>
      <c r="W86" s="42" t="s">
        <v>346</v>
      </c>
    </row>
    <row r="87" spans="12:23" ht="15" hidden="1" customHeight="1">
      <c r="L87" s="43">
        <f t="shared" si="8"/>
        <v>44588</v>
      </c>
      <c r="M87" s="35">
        <f t="shared" si="9"/>
        <v>0</v>
      </c>
      <c r="N87" s="35">
        <f t="shared" si="10"/>
        <v>30000</v>
      </c>
      <c r="O87" s="35">
        <f t="shared" si="11"/>
        <v>1.2328767123287672</v>
      </c>
      <c r="P87" s="35">
        <f t="shared" si="12"/>
        <v>2.4657534246575343</v>
      </c>
      <c r="W87" s="42" t="s">
        <v>347</v>
      </c>
    </row>
    <row r="88" spans="12:23" ht="15" hidden="1" customHeight="1">
      <c r="L88" s="43">
        <f t="shared" si="8"/>
        <v>44589</v>
      </c>
      <c r="M88" s="35">
        <f t="shared" si="9"/>
        <v>0</v>
      </c>
      <c r="N88" s="35">
        <f t="shared" si="10"/>
        <v>30000</v>
      </c>
      <c r="O88" s="35">
        <f t="shared" si="11"/>
        <v>1.2328767123287672</v>
      </c>
      <c r="P88" s="35">
        <f t="shared" si="12"/>
        <v>2.4657534246575343</v>
      </c>
      <c r="W88" s="42" t="s">
        <v>412</v>
      </c>
    </row>
    <row r="89" spans="12:23" ht="15" hidden="1" customHeight="1">
      <c r="L89" s="43">
        <f t="shared" si="8"/>
        <v>44590</v>
      </c>
      <c r="M89" s="35">
        <f t="shared" si="9"/>
        <v>0</v>
      </c>
      <c r="N89" s="35">
        <f t="shared" si="10"/>
        <v>30000</v>
      </c>
      <c r="O89" s="35">
        <f t="shared" si="11"/>
        <v>1.2328767123287672</v>
      </c>
      <c r="P89" s="35">
        <f t="shared" si="12"/>
        <v>2.4657534246575343</v>
      </c>
      <c r="W89" s="42" t="s">
        <v>348</v>
      </c>
    </row>
    <row r="90" spans="12:23" ht="15" hidden="1" customHeight="1">
      <c r="L90" s="43">
        <f t="shared" si="8"/>
        <v>44591</v>
      </c>
      <c r="M90" s="35">
        <f t="shared" si="9"/>
        <v>0</v>
      </c>
      <c r="N90" s="35">
        <f t="shared" si="10"/>
        <v>30000</v>
      </c>
      <c r="O90" s="35">
        <f t="shared" si="11"/>
        <v>1.2328767123287672</v>
      </c>
      <c r="P90" s="35">
        <f t="shared" si="12"/>
        <v>2.4657534246575343</v>
      </c>
      <c r="W90" s="42" t="s">
        <v>350</v>
      </c>
    </row>
    <row r="91" spans="12:23" ht="15" hidden="1" customHeight="1">
      <c r="L91" s="43">
        <f t="shared" si="8"/>
        <v>44592</v>
      </c>
      <c r="M91" s="35">
        <f t="shared" si="9"/>
        <v>0</v>
      </c>
      <c r="N91" s="35">
        <f t="shared" si="10"/>
        <v>30000</v>
      </c>
      <c r="O91" s="35">
        <f t="shared" si="11"/>
        <v>1.2328767123287672</v>
      </c>
      <c r="P91" s="35">
        <f t="shared" si="12"/>
        <v>2.4657534246575343</v>
      </c>
      <c r="W91" s="42" t="s">
        <v>392</v>
      </c>
    </row>
    <row r="92" spans="12:23" ht="15" hidden="1" customHeight="1">
      <c r="L92" s="43">
        <f t="shared" si="8"/>
        <v>44593</v>
      </c>
      <c r="M92" s="35">
        <f t="shared" si="9"/>
        <v>0</v>
      </c>
      <c r="N92" s="35">
        <f t="shared" si="10"/>
        <v>30000</v>
      </c>
      <c r="O92" s="35">
        <f t="shared" si="11"/>
        <v>1.2328767123287672</v>
      </c>
      <c r="P92" s="35">
        <f t="shared" si="12"/>
        <v>2.4657534246575343</v>
      </c>
      <c r="W92" s="42" t="s">
        <v>393</v>
      </c>
    </row>
    <row r="93" spans="12:23" ht="15" hidden="1" customHeight="1">
      <c r="L93" s="43">
        <f t="shared" si="8"/>
        <v>44594</v>
      </c>
      <c r="M93" s="35">
        <f t="shared" si="9"/>
        <v>0</v>
      </c>
      <c r="N93" s="35">
        <f t="shared" si="10"/>
        <v>30000</v>
      </c>
      <c r="O93" s="35">
        <f t="shared" si="11"/>
        <v>1.2328767123287672</v>
      </c>
      <c r="P93" s="35">
        <f t="shared" si="12"/>
        <v>2.4657534246575343</v>
      </c>
      <c r="W93" s="42" t="s">
        <v>394</v>
      </c>
    </row>
    <row r="94" spans="12:23" ht="15" hidden="1" customHeight="1">
      <c r="L94" s="43">
        <f t="shared" si="8"/>
        <v>44595</v>
      </c>
      <c r="M94" s="35">
        <f t="shared" si="9"/>
        <v>0</v>
      </c>
      <c r="N94" s="35">
        <f t="shared" si="10"/>
        <v>30000</v>
      </c>
      <c r="O94" s="35">
        <f t="shared" si="11"/>
        <v>1.2328767123287672</v>
      </c>
      <c r="P94" s="35">
        <f t="shared" si="12"/>
        <v>2.4657534246575343</v>
      </c>
      <c r="W94" s="42" t="s">
        <v>414</v>
      </c>
    </row>
    <row r="95" spans="12:23" ht="15" hidden="1" customHeight="1">
      <c r="L95" s="43">
        <f t="shared" ref="L95:L158" si="18">IFERROR(IF(MAX(L94+1,Дата_получения_Займа+1)&gt;Дата_погашения_Займа,"-",MAX(L94+1,Дата_получения_Займа+1)),"-")</f>
        <v>44596</v>
      </c>
      <c r="M95" s="35">
        <f t="shared" ref="M95:M158" si="19">IFERROR(VLOOKUP(L95,$B$31:$E$59,4,FALSE),0)</f>
        <v>0</v>
      </c>
      <c r="N95" s="35">
        <f t="shared" ref="N95:N158" si="20">IF(ISNUMBER(N94),N94-M95,$E$20)</f>
        <v>30000</v>
      </c>
      <c r="O95" s="35">
        <f t="shared" ref="O95:O158" si="21">IFERROR(IF(ISNUMBER(N94),N94,$E$20)*IF(L95&gt;=$J$20,$E$25,$E$24)/IF(MOD(YEAR(L95),4),365,366)*IF(ISBLANK(L94),L95-$E$22,L95-L94),0)</f>
        <v>1.2328767123287672</v>
      </c>
      <c r="P95" s="35">
        <f t="shared" ref="P95:P158" si="22">IFERROR(IF(ISNUMBER(N94),N94,$E$20)*3%/IF(MOD(YEAR(L95),4),365,366)*IF(ISBLANK(L94),(L95-$E$22),L95-L94),0)</f>
        <v>2.4657534246575343</v>
      </c>
      <c r="W95" s="42" t="s">
        <v>395</v>
      </c>
    </row>
    <row r="96" spans="12:23" ht="15" hidden="1" customHeight="1">
      <c r="L96" s="43">
        <f t="shared" si="18"/>
        <v>44597</v>
      </c>
      <c r="M96" s="35">
        <f t="shared" si="19"/>
        <v>0</v>
      </c>
      <c r="N96" s="35">
        <f t="shared" si="20"/>
        <v>30000</v>
      </c>
      <c r="O96" s="35">
        <f t="shared" si="21"/>
        <v>1.2328767123287672</v>
      </c>
      <c r="P96" s="35">
        <f t="shared" si="22"/>
        <v>2.4657534246575343</v>
      </c>
      <c r="W96" s="42" t="s">
        <v>396</v>
      </c>
    </row>
    <row r="97" spans="12:23" ht="15" hidden="1" customHeight="1">
      <c r="L97" s="43">
        <f t="shared" si="18"/>
        <v>44598</v>
      </c>
      <c r="M97" s="35">
        <f t="shared" si="19"/>
        <v>0</v>
      </c>
      <c r="N97" s="35">
        <f t="shared" si="20"/>
        <v>30000</v>
      </c>
      <c r="O97" s="35">
        <f t="shared" si="21"/>
        <v>1.2328767123287672</v>
      </c>
      <c r="P97" s="35">
        <f t="shared" si="22"/>
        <v>2.4657534246575343</v>
      </c>
      <c r="W97" s="42" t="s">
        <v>397</v>
      </c>
    </row>
    <row r="98" spans="12:23" ht="15" hidden="1" customHeight="1">
      <c r="L98" s="43">
        <f t="shared" si="18"/>
        <v>44599</v>
      </c>
      <c r="M98" s="35">
        <f t="shared" si="19"/>
        <v>0</v>
      </c>
      <c r="N98" s="35">
        <f t="shared" si="20"/>
        <v>30000</v>
      </c>
      <c r="O98" s="35">
        <f t="shared" si="21"/>
        <v>1.2328767123287672</v>
      </c>
      <c r="P98" s="35">
        <f t="shared" si="22"/>
        <v>2.4657534246575343</v>
      </c>
      <c r="W98" s="42" t="s">
        <v>415</v>
      </c>
    </row>
    <row r="99" spans="12:23" ht="15" hidden="1" customHeight="1">
      <c r="L99" s="43">
        <f t="shared" si="18"/>
        <v>44600</v>
      </c>
      <c r="M99" s="35">
        <f t="shared" si="19"/>
        <v>0</v>
      </c>
      <c r="N99" s="35">
        <f t="shared" si="20"/>
        <v>30000</v>
      </c>
      <c r="O99" s="35">
        <f t="shared" si="21"/>
        <v>1.2328767123287672</v>
      </c>
      <c r="P99" s="35">
        <f t="shared" si="22"/>
        <v>2.4657534246575343</v>
      </c>
      <c r="W99" s="42" t="s">
        <v>398</v>
      </c>
    </row>
    <row r="100" spans="12:23" ht="15" hidden="1" customHeight="1">
      <c r="L100" s="43">
        <f t="shared" si="18"/>
        <v>44601</v>
      </c>
      <c r="M100" s="35">
        <f t="shared" si="19"/>
        <v>0</v>
      </c>
      <c r="N100" s="35">
        <f t="shared" si="20"/>
        <v>30000</v>
      </c>
      <c r="O100" s="35">
        <f t="shared" si="21"/>
        <v>1.2328767123287672</v>
      </c>
      <c r="P100" s="35">
        <f t="shared" si="22"/>
        <v>2.4657534246575343</v>
      </c>
      <c r="W100" s="42" t="s">
        <v>359</v>
      </c>
    </row>
    <row r="101" spans="12:23" ht="15" hidden="1" customHeight="1">
      <c r="L101" s="43">
        <f t="shared" si="18"/>
        <v>44602</v>
      </c>
      <c r="M101" s="35">
        <f t="shared" si="19"/>
        <v>0</v>
      </c>
      <c r="N101" s="35">
        <f t="shared" si="20"/>
        <v>30000</v>
      </c>
      <c r="O101" s="35">
        <f t="shared" si="21"/>
        <v>1.2328767123287672</v>
      </c>
      <c r="P101" s="35">
        <f t="shared" si="22"/>
        <v>2.4657534246575343</v>
      </c>
      <c r="W101" s="42" t="s">
        <v>399</v>
      </c>
    </row>
    <row r="102" spans="12:23" ht="15" hidden="1" customHeight="1">
      <c r="L102" s="43">
        <f t="shared" si="18"/>
        <v>44603</v>
      </c>
      <c r="M102" s="35">
        <f t="shared" si="19"/>
        <v>0</v>
      </c>
      <c r="N102" s="35">
        <f t="shared" si="20"/>
        <v>30000</v>
      </c>
      <c r="O102" s="35">
        <f t="shared" si="21"/>
        <v>1.2328767123287672</v>
      </c>
      <c r="P102" s="35">
        <f t="shared" si="22"/>
        <v>2.4657534246575343</v>
      </c>
      <c r="W102" s="42" t="s">
        <v>400</v>
      </c>
    </row>
    <row r="103" spans="12:23" ht="15" hidden="1" customHeight="1">
      <c r="L103" s="43">
        <f t="shared" si="18"/>
        <v>44604</v>
      </c>
      <c r="M103" s="35">
        <f t="shared" si="19"/>
        <v>0</v>
      </c>
      <c r="N103" s="35">
        <f t="shared" si="20"/>
        <v>30000</v>
      </c>
      <c r="O103" s="35">
        <f t="shared" si="21"/>
        <v>1.2328767123287672</v>
      </c>
      <c r="P103" s="35">
        <f t="shared" si="22"/>
        <v>2.4657534246575343</v>
      </c>
      <c r="W103" s="42" t="s">
        <v>401</v>
      </c>
    </row>
    <row r="104" spans="12:23" ht="15" hidden="1" customHeight="1">
      <c r="L104" s="43">
        <f t="shared" si="18"/>
        <v>44605</v>
      </c>
      <c r="M104" s="35">
        <f t="shared" si="19"/>
        <v>0</v>
      </c>
      <c r="N104" s="35">
        <f t="shared" si="20"/>
        <v>30000</v>
      </c>
      <c r="O104" s="35">
        <f t="shared" si="21"/>
        <v>1.2328767123287672</v>
      </c>
      <c r="P104" s="35">
        <f t="shared" si="22"/>
        <v>2.4657534246575343</v>
      </c>
      <c r="W104" s="42" t="s">
        <v>402</v>
      </c>
    </row>
    <row r="105" spans="12:23" ht="15" hidden="1" customHeight="1">
      <c r="L105" s="43">
        <f t="shared" si="18"/>
        <v>44606</v>
      </c>
      <c r="M105" s="35">
        <f t="shared" si="19"/>
        <v>0</v>
      </c>
      <c r="N105" s="35">
        <f t="shared" si="20"/>
        <v>30000</v>
      </c>
      <c r="O105" s="35">
        <f t="shared" si="21"/>
        <v>1.2328767123287672</v>
      </c>
      <c r="P105" s="35">
        <f t="shared" si="22"/>
        <v>2.4657534246575343</v>
      </c>
      <c r="W105" s="42" t="s">
        <v>403</v>
      </c>
    </row>
    <row r="106" spans="12:23" ht="15" hidden="1" customHeight="1">
      <c r="L106" s="43">
        <f t="shared" si="18"/>
        <v>44607</v>
      </c>
      <c r="M106" s="35">
        <f t="shared" si="19"/>
        <v>0</v>
      </c>
      <c r="N106" s="35">
        <f t="shared" si="20"/>
        <v>30000</v>
      </c>
      <c r="O106" s="35">
        <f t="shared" si="21"/>
        <v>1.2328767123287672</v>
      </c>
      <c r="P106" s="35">
        <f t="shared" si="22"/>
        <v>2.4657534246575343</v>
      </c>
      <c r="W106" s="42" t="s">
        <v>349</v>
      </c>
    </row>
    <row r="107" spans="12:23" ht="15" hidden="1" customHeight="1">
      <c r="L107" s="43">
        <f t="shared" si="18"/>
        <v>44608</v>
      </c>
      <c r="M107" s="35">
        <f t="shared" si="19"/>
        <v>0</v>
      </c>
      <c r="N107" s="35">
        <f t="shared" si="20"/>
        <v>30000</v>
      </c>
      <c r="O107" s="35">
        <f t="shared" si="21"/>
        <v>1.2328767123287672</v>
      </c>
      <c r="P107" s="35">
        <f t="shared" si="22"/>
        <v>2.4657534246575343</v>
      </c>
      <c r="W107" s="42" t="s">
        <v>404</v>
      </c>
    </row>
    <row r="108" spans="12:23" ht="15" hidden="1" customHeight="1">
      <c r="L108" s="43">
        <f t="shared" si="18"/>
        <v>44609</v>
      </c>
      <c r="M108" s="35">
        <f t="shared" si="19"/>
        <v>0</v>
      </c>
      <c r="N108" s="35">
        <f t="shared" si="20"/>
        <v>30000</v>
      </c>
      <c r="O108" s="35">
        <f t="shared" si="21"/>
        <v>1.2328767123287672</v>
      </c>
      <c r="P108" s="35">
        <f t="shared" si="22"/>
        <v>2.4657534246575343</v>
      </c>
      <c r="W108" s="42" t="s">
        <v>360</v>
      </c>
    </row>
    <row r="109" spans="12:23" ht="15" hidden="1" customHeight="1">
      <c r="L109" s="43">
        <f t="shared" si="18"/>
        <v>44610</v>
      </c>
      <c r="M109" s="35">
        <f t="shared" si="19"/>
        <v>0</v>
      </c>
      <c r="N109" s="35">
        <f t="shared" si="20"/>
        <v>30000</v>
      </c>
      <c r="O109" s="35">
        <f t="shared" si="21"/>
        <v>1.2328767123287672</v>
      </c>
      <c r="P109" s="35">
        <f t="shared" si="22"/>
        <v>2.4657534246575343</v>
      </c>
      <c r="W109" s="42" t="s">
        <v>409</v>
      </c>
    </row>
    <row r="110" spans="12:23" ht="15" hidden="1" customHeight="1">
      <c r="L110" s="43">
        <f t="shared" si="18"/>
        <v>44611</v>
      </c>
      <c r="M110" s="35">
        <f t="shared" si="19"/>
        <v>0</v>
      </c>
      <c r="N110" s="35">
        <f t="shared" si="20"/>
        <v>30000</v>
      </c>
      <c r="O110" s="35">
        <f t="shared" si="21"/>
        <v>1.2328767123287672</v>
      </c>
      <c r="P110" s="35">
        <f t="shared" si="22"/>
        <v>2.4657534246575343</v>
      </c>
      <c r="W110" s="42" t="s">
        <v>405</v>
      </c>
    </row>
    <row r="111" spans="12:23" ht="15" hidden="1" customHeight="1">
      <c r="L111" s="43">
        <f t="shared" si="18"/>
        <v>44612</v>
      </c>
      <c r="M111" s="35">
        <f t="shared" si="19"/>
        <v>0</v>
      </c>
      <c r="N111" s="35">
        <f t="shared" si="20"/>
        <v>30000</v>
      </c>
      <c r="O111" s="35">
        <f t="shared" si="21"/>
        <v>1.2328767123287672</v>
      </c>
      <c r="P111" s="35">
        <f t="shared" si="22"/>
        <v>2.4657534246575343</v>
      </c>
      <c r="W111" s="42" t="s">
        <v>351</v>
      </c>
    </row>
    <row r="112" spans="12:23" ht="15" hidden="1" customHeight="1">
      <c r="L112" s="43">
        <f t="shared" si="18"/>
        <v>44613</v>
      </c>
      <c r="M112" s="35">
        <f t="shared" si="19"/>
        <v>0</v>
      </c>
      <c r="N112" s="35">
        <f t="shared" si="20"/>
        <v>30000</v>
      </c>
      <c r="O112" s="35">
        <f t="shared" si="21"/>
        <v>1.2328767123287672</v>
      </c>
      <c r="P112" s="35">
        <f t="shared" si="22"/>
        <v>2.4657534246575343</v>
      </c>
      <c r="W112" s="42" t="s">
        <v>417</v>
      </c>
    </row>
    <row r="113" spans="12:23" ht="15" hidden="1" customHeight="1">
      <c r="L113" s="43">
        <f t="shared" si="18"/>
        <v>44614</v>
      </c>
      <c r="M113" s="35">
        <f t="shared" si="19"/>
        <v>0</v>
      </c>
      <c r="N113" s="35">
        <f t="shared" si="20"/>
        <v>30000</v>
      </c>
      <c r="O113" s="35">
        <f t="shared" si="21"/>
        <v>1.2328767123287672</v>
      </c>
      <c r="P113" s="35">
        <f t="shared" si="22"/>
        <v>2.4657534246575343</v>
      </c>
      <c r="W113" s="42" t="s">
        <v>410</v>
      </c>
    </row>
    <row r="114" spans="12:23" ht="15" hidden="1" customHeight="1">
      <c r="L114" s="43">
        <f t="shared" si="18"/>
        <v>44615</v>
      </c>
      <c r="M114" s="35">
        <f t="shared" si="19"/>
        <v>0</v>
      </c>
      <c r="N114" s="35">
        <f t="shared" si="20"/>
        <v>30000</v>
      </c>
      <c r="O114" s="35">
        <f t="shared" si="21"/>
        <v>1.2328767123287672</v>
      </c>
      <c r="P114" s="35">
        <f t="shared" si="22"/>
        <v>2.4657534246575343</v>
      </c>
      <c r="W114" s="42" t="s">
        <v>411</v>
      </c>
    </row>
    <row r="115" spans="12:23" ht="15" hidden="1" customHeight="1">
      <c r="L115" s="43">
        <f t="shared" si="18"/>
        <v>44616</v>
      </c>
      <c r="M115" s="35">
        <f t="shared" si="19"/>
        <v>0</v>
      </c>
      <c r="N115" s="35">
        <f t="shared" si="20"/>
        <v>30000</v>
      </c>
      <c r="O115" s="35">
        <f t="shared" si="21"/>
        <v>1.2328767123287672</v>
      </c>
      <c r="P115" s="35">
        <f t="shared" si="22"/>
        <v>2.4657534246575343</v>
      </c>
      <c r="W115" s="42" t="s">
        <v>406</v>
      </c>
    </row>
    <row r="116" spans="12:23" ht="15" hidden="1" customHeight="1">
      <c r="L116" s="43">
        <f t="shared" si="18"/>
        <v>44617</v>
      </c>
      <c r="M116" s="35">
        <f t="shared" si="19"/>
        <v>0</v>
      </c>
      <c r="N116" s="35">
        <f t="shared" si="20"/>
        <v>30000</v>
      </c>
      <c r="O116" s="35">
        <f t="shared" si="21"/>
        <v>1.2328767123287672</v>
      </c>
      <c r="P116" s="35">
        <f t="shared" si="22"/>
        <v>2.4657534246575343</v>
      </c>
    </row>
    <row r="117" spans="12:23" ht="15" hidden="1" customHeight="1">
      <c r="L117" s="43">
        <f t="shared" si="18"/>
        <v>44618</v>
      </c>
      <c r="M117" s="35">
        <f t="shared" si="19"/>
        <v>0</v>
      </c>
      <c r="N117" s="35">
        <f t="shared" si="20"/>
        <v>30000</v>
      </c>
      <c r="O117" s="35">
        <f t="shared" si="21"/>
        <v>1.2328767123287672</v>
      </c>
      <c r="P117" s="35">
        <f t="shared" si="22"/>
        <v>2.4657534246575343</v>
      </c>
    </row>
    <row r="118" spans="12:23" ht="15" hidden="1" customHeight="1">
      <c r="L118" s="43">
        <f t="shared" si="18"/>
        <v>44619</v>
      </c>
      <c r="M118" s="35">
        <f t="shared" si="19"/>
        <v>0</v>
      </c>
      <c r="N118" s="35">
        <f t="shared" si="20"/>
        <v>30000</v>
      </c>
      <c r="O118" s="35">
        <f t="shared" si="21"/>
        <v>1.2328767123287672</v>
      </c>
      <c r="P118" s="35">
        <f t="shared" si="22"/>
        <v>2.4657534246575343</v>
      </c>
    </row>
    <row r="119" spans="12:23" ht="15" hidden="1" customHeight="1">
      <c r="L119" s="43">
        <f t="shared" si="18"/>
        <v>44620</v>
      </c>
      <c r="M119" s="35">
        <f t="shared" si="19"/>
        <v>0</v>
      </c>
      <c r="N119" s="35">
        <f t="shared" si="20"/>
        <v>30000</v>
      </c>
      <c r="O119" s="35">
        <f t="shared" si="21"/>
        <v>1.2328767123287672</v>
      </c>
      <c r="P119" s="35">
        <f t="shared" si="22"/>
        <v>2.4657534246575343</v>
      </c>
    </row>
    <row r="120" spans="12:23" ht="15" hidden="1" customHeight="1">
      <c r="L120" s="43">
        <f t="shared" si="18"/>
        <v>44621</v>
      </c>
      <c r="M120" s="35">
        <f t="shared" si="19"/>
        <v>0</v>
      </c>
      <c r="N120" s="35">
        <f t="shared" si="20"/>
        <v>30000</v>
      </c>
      <c r="O120" s="35">
        <f t="shared" si="21"/>
        <v>1.2328767123287672</v>
      </c>
      <c r="P120" s="35">
        <f t="shared" si="22"/>
        <v>2.4657534246575343</v>
      </c>
    </row>
    <row r="121" spans="12:23" ht="15" hidden="1" customHeight="1">
      <c r="L121" s="43">
        <f t="shared" si="18"/>
        <v>44622</v>
      </c>
      <c r="M121" s="35">
        <f t="shared" si="19"/>
        <v>0</v>
      </c>
      <c r="N121" s="35">
        <f t="shared" si="20"/>
        <v>30000</v>
      </c>
      <c r="O121" s="35">
        <f t="shared" si="21"/>
        <v>1.2328767123287672</v>
      </c>
      <c r="P121" s="35">
        <f t="shared" si="22"/>
        <v>2.4657534246575343</v>
      </c>
    </row>
    <row r="122" spans="12:23" ht="15" hidden="1" customHeight="1">
      <c r="L122" s="43">
        <f t="shared" si="18"/>
        <v>44623</v>
      </c>
      <c r="M122" s="35">
        <f t="shared" si="19"/>
        <v>0</v>
      </c>
      <c r="N122" s="35">
        <f t="shared" si="20"/>
        <v>30000</v>
      </c>
      <c r="O122" s="35">
        <f t="shared" si="21"/>
        <v>1.2328767123287672</v>
      </c>
      <c r="P122" s="35">
        <f t="shared" si="22"/>
        <v>2.4657534246575343</v>
      </c>
    </row>
    <row r="123" spans="12:23" ht="15" hidden="1" customHeight="1">
      <c r="L123" s="43">
        <f t="shared" si="18"/>
        <v>44624</v>
      </c>
      <c r="M123" s="35">
        <f t="shared" si="19"/>
        <v>0</v>
      </c>
      <c r="N123" s="35">
        <f t="shared" si="20"/>
        <v>30000</v>
      </c>
      <c r="O123" s="35">
        <f t="shared" si="21"/>
        <v>1.2328767123287672</v>
      </c>
      <c r="P123" s="35">
        <f t="shared" si="22"/>
        <v>2.4657534246575343</v>
      </c>
    </row>
    <row r="124" spans="12:23" ht="15" hidden="1" customHeight="1">
      <c r="L124" s="43">
        <f t="shared" si="18"/>
        <v>44625</v>
      </c>
      <c r="M124" s="35">
        <f t="shared" si="19"/>
        <v>0</v>
      </c>
      <c r="N124" s="35">
        <f t="shared" si="20"/>
        <v>30000</v>
      </c>
      <c r="O124" s="35">
        <f t="shared" si="21"/>
        <v>1.2328767123287672</v>
      </c>
      <c r="P124" s="35">
        <f t="shared" si="22"/>
        <v>2.4657534246575343</v>
      </c>
    </row>
    <row r="125" spans="12:23" ht="15" hidden="1" customHeight="1">
      <c r="L125" s="43">
        <f t="shared" si="18"/>
        <v>44626</v>
      </c>
      <c r="M125" s="35">
        <f t="shared" si="19"/>
        <v>0</v>
      </c>
      <c r="N125" s="35">
        <f t="shared" si="20"/>
        <v>30000</v>
      </c>
      <c r="O125" s="35">
        <f t="shared" si="21"/>
        <v>1.2328767123287672</v>
      </c>
      <c r="P125" s="35">
        <f t="shared" si="22"/>
        <v>2.4657534246575343</v>
      </c>
    </row>
    <row r="126" spans="12:23" ht="15" hidden="1" customHeight="1">
      <c r="L126" s="43">
        <f t="shared" si="18"/>
        <v>44627</v>
      </c>
      <c r="M126" s="35">
        <f t="shared" si="19"/>
        <v>0</v>
      </c>
      <c r="N126" s="35">
        <f t="shared" si="20"/>
        <v>30000</v>
      </c>
      <c r="O126" s="35">
        <f t="shared" si="21"/>
        <v>1.2328767123287672</v>
      </c>
      <c r="P126" s="35">
        <f t="shared" si="22"/>
        <v>2.4657534246575343</v>
      </c>
    </row>
    <row r="127" spans="12:23" ht="15" hidden="1" customHeight="1">
      <c r="L127" s="43">
        <f t="shared" si="18"/>
        <v>44628</v>
      </c>
      <c r="M127" s="35">
        <f t="shared" si="19"/>
        <v>0</v>
      </c>
      <c r="N127" s="35">
        <f t="shared" si="20"/>
        <v>30000</v>
      </c>
      <c r="O127" s="35">
        <f t="shared" si="21"/>
        <v>1.2328767123287672</v>
      </c>
      <c r="P127" s="35">
        <f t="shared" si="22"/>
        <v>2.4657534246575343</v>
      </c>
    </row>
    <row r="128" spans="12:23" ht="15" hidden="1" customHeight="1">
      <c r="L128" s="43">
        <f t="shared" si="18"/>
        <v>44629</v>
      </c>
      <c r="M128" s="35">
        <f t="shared" si="19"/>
        <v>0</v>
      </c>
      <c r="N128" s="35">
        <f t="shared" si="20"/>
        <v>30000</v>
      </c>
      <c r="O128" s="35">
        <f t="shared" si="21"/>
        <v>1.2328767123287672</v>
      </c>
      <c r="P128" s="35">
        <f t="shared" si="22"/>
        <v>2.4657534246575343</v>
      </c>
    </row>
    <row r="129" spans="12:16" ht="15" hidden="1" customHeight="1">
      <c r="L129" s="43">
        <f t="shared" si="18"/>
        <v>44630</v>
      </c>
      <c r="M129" s="35">
        <f t="shared" si="19"/>
        <v>0</v>
      </c>
      <c r="N129" s="35">
        <f t="shared" si="20"/>
        <v>30000</v>
      </c>
      <c r="O129" s="35">
        <f t="shared" si="21"/>
        <v>1.2328767123287672</v>
      </c>
      <c r="P129" s="35">
        <f t="shared" si="22"/>
        <v>2.4657534246575343</v>
      </c>
    </row>
    <row r="130" spans="12:16" ht="15" hidden="1" customHeight="1">
      <c r="L130" s="43">
        <f t="shared" si="18"/>
        <v>44631</v>
      </c>
      <c r="M130" s="35">
        <f t="shared" si="19"/>
        <v>0</v>
      </c>
      <c r="N130" s="35">
        <f t="shared" si="20"/>
        <v>30000</v>
      </c>
      <c r="O130" s="35">
        <f t="shared" si="21"/>
        <v>1.2328767123287672</v>
      </c>
      <c r="P130" s="35">
        <f t="shared" si="22"/>
        <v>2.4657534246575343</v>
      </c>
    </row>
    <row r="131" spans="12:16" ht="15" hidden="1" customHeight="1">
      <c r="L131" s="43">
        <f t="shared" si="18"/>
        <v>44632</v>
      </c>
      <c r="M131" s="35">
        <f t="shared" si="19"/>
        <v>0</v>
      </c>
      <c r="N131" s="35">
        <f t="shared" si="20"/>
        <v>30000</v>
      </c>
      <c r="O131" s="35">
        <f t="shared" si="21"/>
        <v>1.2328767123287672</v>
      </c>
      <c r="P131" s="35">
        <f t="shared" si="22"/>
        <v>2.4657534246575343</v>
      </c>
    </row>
    <row r="132" spans="12:16" ht="15" hidden="1" customHeight="1">
      <c r="L132" s="43">
        <f t="shared" si="18"/>
        <v>44633</v>
      </c>
      <c r="M132" s="35">
        <f t="shared" si="19"/>
        <v>0</v>
      </c>
      <c r="N132" s="35">
        <f t="shared" si="20"/>
        <v>30000</v>
      </c>
      <c r="O132" s="35">
        <f t="shared" si="21"/>
        <v>1.2328767123287672</v>
      </c>
      <c r="P132" s="35">
        <f t="shared" si="22"/>
        <v>2.4657534246575343</v>
      </c>
    </row>
    <row r="133" spans="12:16" ht="15" hidden="1" customHeight="1">
      <c r="L133" s="43">
        <f t="shared" si="18"/>
        <v>44634</v>
      </c>
      <c r="M133" s="35">
        <f t="shared" si="19"/>
        <v>0</v>
      </c>
      <c r="N133" s="35">
        <f t="shared" si="20"/>
        <v>30000</v>
      </c>
      <c r="O133" s="35">
        <f t="shared" si="21"/>
        <v>1.2328767123287672</v>
      </c>
      <c r="P133" s="35">
        <f t="shared" si="22"/>
        <v>2.4657534246575343</v>
      </c>
    </row>
    <row r="134" spans="12:16" ht="15" hidden="1" customHeight="1">
      <c r="L134" s="43">
        <f t="shared" si="18"/>
        <v>44635</v>
      </c>
      <c r="M134" s="35">
        <f t="shared" si="19"/>
        <v>0</v>
      </c>
      <c r="N134" s="35">
        <f t="shared" si="20"/>
        <v>30000</v>
      </c>
      <c r="O134" s="35">
        <f t="shared" si="21"/>
        <v>1.2328767123287672</v>
      </c>
      <c r="P134" s="35">
        <f t="shared" si="22"/>
        <v>2.4657534246575343</v>
      </c>
    </row>
    <row r="135" spans="12:16" ht="15" hidden="1" customHeight="1">
      <c r="L135" s="43">
        <f t="shared" si="18"/>
        <v>44636</v>
      </c>
      <c r="M135" s="35">
        <f t="shared" si="19"/>
        <v>0</v>
      </c>
      <c r="N135" s="35">
        <f t="shared" si="20"/>
        <v>30000</v>
      </c>
      <c r="O135" s="35">
        <f t="shared" si="21"/>
        <v>1.2328767123287672</v>
      </c>
      <c r="P135" s="35">
        <f t="shared" si="22"/>
        <v>2.4657534246575343</v>
      </c>
    </row>
    <row r="136" spans="12:16" ht="15" hidden="1" customHeight="1">
      <c r="L136" s="43">
        <f t="shared" si="18"/>
        <v>44637</v>
      </c>
      <c r="M136" s="35">
        <f t="shared" si="19"/>
        <v>0</v>
      </c>
      <c r="N136" s="35">
        <f t="shared" si="20"/>
        <v>30000</v>
      </c>
      <c r="O136" s="35">
        <f t="shared" si="21"/>
        <v>1.2328767123287672</v>
      </c>
      <c r="P136" s="35">
        <f t="shared" si="22"/>
        <v>2.4657534246575343</v>
      </c>
    </row>
    <row r="137" spans="12:16" ht="15" hidden="1" customHeight="1">
      <c r="L137" s="43">
        <f t="shared" si="18"/>
        <v>44638</v>
      </c>
      <c r="M137" s="35">
        <f t="shared" si="19"/>
        <v>0</v>
      </c>
      <c r="N137" s="35">
        <f t="shared" si="20"/>
        <v>30000</v>
      </c>
      <c r="O137" s="35">
        <f t="shared" si="21"/>
        <v>1.2328767123287672</v>
      </c>
      <c r="P137" s="35">
        <f t="shared" si="22"/>
        <v>2.4657534246575343</v>
      </c>
    </row>
    <row r="138" spans="12:16" ht="15" hidden="1" customHeight="1">
      <c r="L138" s="43">
        <f t="shared" si="18"/>
        <v>44639</v>
      </c>
      <c r="M138" s="35">
        <f t="shared" si="19"/>
        <v>0</v>
      </c>
      <c r="N138" s="35">
        <f t="shared" si="20"/>
        <v>30000</v>
      </c>
      <c r="O138" s="35">
        <f t="shared" si="21"/>
        <v>1.2328767123287672</v>
      </c>
      <c r="P138" s="35">
        <f t="shared" si="22"/>
        <v>2.4657534246575343</v>
      </c>
    </row>
    <row r="139" spans="12:16" ht="15" hidden="1" customHeight="1">
      <c r="L139" s="43">
        <f t="shared" si="18"/>
        <v>44640</v>
      </c>
      <c r="M139" s="35">
        <f t="shared" si="19"/>
        <v>0</v>
      </c>
      <c r="N139" s="35">
        <f t="shared" si="20"/>
        <v>30000</v>
      </c>
      <c r="O139" s="35">
        <f t="shared" si="21"/>
        <v>1.2328767123287672</v>
      </c>
      <c r="P139" s="35">
        <f t="shared" si="22"/>
        <v>2.4657534246575343</v>
      </c>
    </row>
    <row r="140" spans="12:16" ht="15" hidden="1" customHeight="1">
      <c r="L140" s="43">
        <f t="shared" si="18"/>
        <v>44641</v>
      </c>
      <c r="M140" s="35">
        <f t="shared" si="19"/>
        <v>0</v>
      </c>
      <c r="N140" s="35">
        <f t="shared" si="20"/>
        <v>30000</v>
      </c>
      <c r="O140" s="35">
        <f t="shared" si="21"/>
        <v>1.2328767123287672</v>
      </c>
      <c r="P140" s="35">
        <f t="shared" si="22"/>
        <v>2.4657534246575343</v>
      </c>
    </row>
    <row r="141" spans="12:16" ht="15" hidden="1" customHeight="1">
      <c r="L141" s="43">
        <f t="shared" si="18"/>
        <v>44642</v>
      </c>
      <c r="M141" s="35">
        <f t="shared" si="19"/>
        <v>0</v>
      </c>
      <c r="N141" s="35">
        <f t="shared" si="20"/>
        <v>30000</v>
      </c>
      <c r="O141" s="35">
        <f t="shared" si="21"/>
        <v>1.2328767123287672</v>
      </c>
      <c r="P141" s="35">
        <f t="shared" si="22"/>
        <v>2.4657534246575343</v>
      </c>
    </row>
    <row r="142" spans="12:16" ht="15" hidden="1" customHeight="1">
      <c r="L142" s="43">
        <f t="shared" si="18"/>
        <v>44643</v>
      </c>
      <c r="M142" s="35">
        <f t="shared" si="19"/>
        <v>0</v>
      </c>
      <c r="N142" s="35">
        <f t="shared" si="20"/>
        <v>30000</v>
      </c>
      <c r="O142" s="35">
        <f t="shared" si="21"/>
        <v>1.2328767123287672</v>
      </c>
      <c r="P142" s="35">
        <f t="shared" si="22"/>
        <v>2.4657534246575343</v>
      </c>
    </row>
    <row r="143" spans="12:16" ht="15" hidden="1" customHeight="1">
      <c r="L143" s="43">
        <f t="shared" si="18"/>
        <v>44644</v>
      </c>
      <c r="M143" s="35">
        <f t="shared" si="19"/>
        <v>0</v>
      </c>
      <c r="N143" s="35">
        <f t="shared" si="20"/>
        <v>30000</v>
      </c>
      <c r="O143" s="35">
        <f t="shared" si="21"/>
        <v>1.2328767123287672</v>
      </c>
      <c r="P143" s="35">
        <f t="shared" si="22"/>
        <v>2.4657534246575343</v>
      </c>
    </row>
    <row r="144" spans="12:16" ht="15" hidden="1" customHeight="1">
      <c r="L144" s="43">
        <f t="shared" si="18"/>
        <v>44645</v>
      </c>
      <c r="M144" s="35">
        <f t="shared" si="19"/>
        <v>0</v>
      </c>
      <c r="N144" s="35">
        <f t="shared" si="20"/>
        <v>30000</v>
      </c>
      <c r="O144" s="35">
        <f t="shared" si="21"/>
        <v>1.2328767123287672</v>
      </c>
      <c r="P144" s="35">
        <f t="shared" si="22"/>
        <v>2.4657534246575343</v>
      </c>
    </row>
    <row r="145" spans="12:16" ht="15" hidden="1" customHeight="1">
      <c r="L145" s="43">
        <f t="shared" si="18"/>
        <v>44646</v>
      </c>
      <c r="M145" s="35">
        <f t="shared" si="19"/>
        <v>0</v>
      </c>
      <c r="N145" s="35">
        <f t="shared" si="20"/>
        <v>30000</v>
      </c>
      <c r="O145" s="35">
        <f t="shared" si="21"/>
        <v>1.2328767123287672</v>
      </c>
      <c r="P145" s="35">
        <f t="shared" si="22"/>
        <v>2.4657534246575343</v>
      </c>
    </row>
    <row r="146" spans="12:16" ht="15" hidden="1" customHeight="1">
      <c r="L146" s="43">
        <f t="shared" si="18"/>
        <v>44647</v>
      </c>
      <c r="M146" s="35">
        <f t="shared" si="19"/>
        <v>0</v>
      </c>
      <c r="N146" s="35">
        <f t="shared" si="20"/>
        <v>30000</v>
      </c>
      <c r="O146" s="35">
        <f t="shared" si="21"/>
        <v>1.2328767123287672</v>
      </c>
      <c r="P146" s="35">
        <f t="shared" si="22"/>
        <v>2.4657534246575343</v>
      </c>
    </row>
    <row r="147" spans="12:16" ht="15" hidden="1" customHeight="1">
      <c r="L147" s="43">
        <f t="shared" si="18"/>
        <v>44648</v>
      </c>
      <c r="M147" s="35">
        <f t="shared" si="19"/>
        <v>0</v>
      </c>
      <c r="N147" s="35">
        <f t="shared" si="20"/>
        <v>30000</v>
      </c>
      <c r="O147" s="35">
        <f t="shared" si="21"/>
        <v>1.2328767123287672</v>
      </c>
      <c r="P147" s="35">
        <f t="shared" si="22"/>
        <v>2.4657534246575343</v>
      </c>
    </row>
    <row r="148" spans="12:16" ht="15" hidden="1" customHeight="1">
      <c r="L148" s="43">
        <f t="shared" si="18"/>
        <v>44649</v>
      </c>
      <c r="M148" s="35">
        <f t="shared" si="19"/>
        <v>0</v>
      </c>
      <c r="N148" s="35">
        <f t="shared" si="20"/>
        <v>30000</v>
      </c>
      <c r="O148" s="35">
        <f t="shared" si="21"/>
        <v>1.2328767123287672</v>
      </c>
      <c r="P148" s="35">
        <f t="shared" si="22"/>
        <v>2.4657534246575343</v>
      </c>
    </row>
    <row r="149" spans="12:16" ht="15" hidden="1" customHeight="1">
      <c r="L149" s="43">
        <f t="shared" si="18"/>
        <v>44650</v>
      </c>
      <c r="M149" s="35">
        <f t="shared" si="19"/>
        <v>0</v>
      </c>
      <c r="N149" s="35">
        <f t="shared" si="20"/>
        <v>30000</v>
      </c>
      <c r="O149" s="35">
        <f t="shared" si="21"/>
        <v>1.2328767123287672</v>
      </c>
      <c r="P149" s="35">
        <f t="shared" si="22"/>
        <v>2.4657534246575343</v>
      </c>
    </row>
    <row r="150" spans="12:16" ht="15" hidden="1" customHeight="1">
      <c r="L150" s="43">
        <f t="shared" si="18"/>
        <v>44651</v>
      </c>
      <c r="M150" s="35">
        <f t="shared" si="19"/>
        <v>0</v>
      </c>
      <c r="N150" s="35">
        <f t="shared" si="20"/>
        <v>30000</v>
      </c>
      <c r="O150" s="35">
        <f t="shared" si="21"/>
        <v>1.2328767123287672</v>
      </c>
      <c r="P150" s="35">
        <f t="shared" si="22"/>
        <v>2.4657534246575343</v>
      </c>
    </row>
    <row r="151" spans="12:16" ht="15" hidden="1" customHeight="1">
      <c r="L151" s="43">
        <f t="shared" si="18"/>
        <v>44652</v>
      </c>
      <c r="M151" s="35">
        <f t="shared" si="19"/>
        <v>0</v>
      </c>
      <c r="N151" s="35">
        <f t="shared" si="20"/>
        <v>30000</v>
      </c>
      <c r="O151" s="35">
        <f t="shared" si="21"/>
        <v>1.2328767123287672</v>
      </c>
      <c r="P151" s="35">
        <f t="shared" si="22"/>
        <v>2.4657534246575343</v>
      </c>
    </row>
    <row r="152" spans="12:16" ht="15" hidden="1" customHeight="1">
      <c r="L152" s="43">
        <f t="shared" si="18"/>
        <v>44653</v>
      </c>
      <c r="M152" s="35">
        <f t="shared" si="19"/>
        <v>0</v>
      </c>
      <c r="N152" s="35">
        <f t="shared" si="20"/>
        <v>30000</v>
      </c>
      <c r="O152" s="35">
        <f t="shared" si="21"/>
        <v>1.2328767123287672</v>
      </c>
      <c r="P152" s="35">
        <f t="shared" si="22"/>
        <v>2.4657534246575343</v>
      </c>
    </row>
    <row r="153" spans="12:16" ht="15" hidden="1" customHeight="1">
      <c r="L153" s="43">
        <f t="shared" si="18"/>
        <v>44654</v>
      </c>
      <c r="M153" s="35">
        <f t="shared" si="19"/>
        <v>0</v>
      </c>
      <c r="N153" s="35">
        <f t="shared" si="20"/>
        <v>30000</v>
      </c>
      <c r="O153" s="35">
        <f t="shared" si="21"/>
        <v>1.2328767123287672</v>
      </c>
      <c r="P153" s="35">
        <f t="shared" si="22"/>
        <v>2.4657534246575343</v>
      </c>
    </row>
    <row r="154" spans="12:16" ht="15" hidden="1" customHeight="1">
      <c r="L154" s="43">
        <f t="shared" si="18"/>
        <v>44655</v>
      </c>
      <c r="M154" s="35">
        <f t="shared" si="19"/>
        <v>0</v>
      </c>
      <c r="N154" s="35">
        <f t="shared" si="20"/>
        <v>30000</v>
      </c>
      <c r="O154" s="35">
        <f t="shared" si="21"/>
        <v>1.2328767123287672</v>
      </c>
      <c r="P154" s="35">
        <f t="shared" si="22"/>
        <v>2.4657534246575343</v>
      </c>
    </row>
    <row r="155" spans="12:16" ht="15" hidden="1" customHeight="1">
      <c r="L155" s="43">
        <f t="shared" si="18"/>
        <v>44656</v>
      </c>
      <c r="M155" s="35">
        <f t="shared" si="19"/>
        <v>0</v>
      </c>
      <c r="N155" s="35">
        <f t="shared" si="20"/>
        <v>30000</v>
      </c>
      <c r="O155" s="35">
        <f t="shared" si="21"/>
        <v>1.2328767123287672</v>
      </c>
      <c r="P155" s="35">
        <f t="shared" si="22"/>
        <v>2.4657534246575343</v>
      </c>
    </row>
    <row r="156" spans="12:16" ht="15" hidden="1" customHeight="1">
      <c r="L156" s="43">
        <f t="shared" si="18"/>
        <v>44657</v>
      </c>
      <c r="M156" s="35">
        <f t="shared" si="19"/>
        <v>0</v>
      </c>
      <c r="N156" s="35">
        <f t="shared" si="20"/>
        <v>30000</v>
      </c>
      <c r="O156" s="35">
        <f t="shared" si="21"/>
        <v>1.2328767123287672</v>
      </c>
      <c r="P156" s="35">
        <f t="shared" si="22"/>
        <v>2.4657534246575343</v>
      </c>
    </row>
    <row r="157" spans="12:16" ht="15" hidden="1" customHeight="1">
      <c r="L157" s="43">
        <f t="shared" si="18"/>
        <v>44658</v>
      </c>
      <c r="M157" s="35">
        <f t="shared" si="19"/>
        <v>0</v>
      </c>
      <c r="N157" s="35">
        <f t="shared" si="20"/>
        <v>30000</v>
      </c>
      <c r="O157" s="35">
        <f t="shared" si="21"/>
        <v>1.2328767123287672</v>
      </c>
      <c r="P157" s="35">
        <f t="shared" si="22"/>
        <v>2.4657534246575343</v>
      </c>
    </row>
    <row r="158" spans="12:16" ht="15" hidden="1" customHeight="1">
      <c r="L158" s="43">
        <f t="shared" si="18"/>
        <v>44659</v>
      </c>
      <c r="M158" s="35">
        <f t="shared" si="19"/>
        <v>0</v>
      </c>
      <c r="N158" s="35">
        <f t="shared" si="20"/>
        <v>30000</v>
      </c>
      <c r="O158" s="35">
        <f t="shared" si="21"/>
        <v>1.2328767123287672</v>
      </c>
      <c r="P158" s="35">
        <f t="shared" si="22"/>
        <v>2.4657534246575343</v>
      </c>
    </row>
    <row r="159" spans="12:16" ht="15" hidden="1" customHeight="1">
      <c r="L159" s="43">
        <f t="shared" ref="L159:L222" si="23">IFERROR(IF(MAX(L158+1,Дата_получения_Займа+1)&gt;Дата_погашения_Займа,"-",MAX(L158+1,Дата_получения_Займа+1)),"-")</f>
        <v>44660</v>
      </c>
      <c r="M159" s="35">
        <f t="shared" ref="M159:M222" si="24">IFERROR(VLOOKUP(L159,$B$31:$E$59,4,FALSE),0)</f>
        <v>0</v>
      </c>
      <c r="N159" s="35">
        <f t="shared" ref="N159:N222" si="25">IF(ISNUMBER(N158),N158-M159,$E$20)</f>
        <v>30000</v>
      </c>
      <c r="O159" s="35">
        <f t="shared" ref="O159:O222" si="26">IFERROR(IF(ISNUMBER(N158),N158,$E$20)*IF(L159&gt;=$J$20,$E$25,$E$24)/IF(MOD(YEAR(L159),4),365,366)*IF(ISBLANK(L158),L159-$E$22,L159-L158),0)</f>
        <v>1.2328767123287672</v>
      </c>
      <c r="P159" s="35">
        <f t="shared" ref="P159:P222" si="27">IFERROR(IF(ISNUMBER(N158),N158,$E$20)*3%/IF(MOD(YEAR(L159),4),365,366)*IF(ISBLANK(L158),(L159-$E$22),L159-L158),0)</f>
        <v>2.4657534246575343</v>
      </c>
    </row>
    <row r="160" spans="12:16" ht="15" hidden="1" customHeight="1">
      <c r="L160" s="43">
        <f t="shared" si="23"/>
        <v>44661</v>
      </c>
      <c r="M160" s="35">
        <f t="shared" si="24"/>
        <v>0</v>
      </c>
      <c r="N160" s="35">
        <f t="shared" si="25"/>
        <v>30000</v>
      </c>
      <c r="O160" s="35">
        <f t="shared" si="26"/>
        <v>1.2328767123287672</v>
      </c>
      <c r="P160" s="35">
        <f t="shared" si="27"/>
        <v>2.4657534246575343</v>
      </c>
    </row>
    <row r="161" spans="12:16" ht="15" hidden="1" customHeight="1">
      <c r="L161" s="43">
        <f t="shared" si="23"/>
        <v>44662</v>
      </c>
      <c r="M161" s="35">
        <f t="shared" si="24"/>
        <v>0</v>
      </c>
      <c r="N161" s="35">
        <f t="shared" si="25"/>
        <v>30000</v>
      </c>
      <c r="O161" s="35">
        <f t="shared" si="26"/>
        <v>1.2328767123287672</v>
      </c>
      <c r="P161" s="35">
        <f t="shared" si="27"/>
        <v>2.4657534246575343</v>
      </c>
    </row>
    <row r="162" spans="12:16" ht="15" hidden="1" customHeight="1">
      <c r="L162" s="43">
        <f t="shared" si="23"/>
        <v>44663</v>
      </c>
      <c r="M162" s="35">
        <f t="shared" si="24"/>
        <v>0</v>
      </c>
      <c r="N162" s="35">
        <f t="shared" si="25"/>
        <v>30000</v>
      </c>
      <c r="O162" s="35">
        <f t="shared" si="26"/>
        <v>1.2328767123287672</v>
      </c>
      <c r="P162" s="35">
        <f t="shared" si="27"/>
        <v>2.4657534246575343</v>
      </c>
    </row>
    <row r="163" spans="12:16" ht="15" hidden="1" customHeight="1">
      <c r="L163" s="43">
        <f t="shared" si="23"/>
        <v>44664</v>
      </c>
      <c r="M163" s="35">
        <f t="shared" si="24"/>
        <v>0</v>
      </c>
      <c r="N163" s="35">
        <f t="shared" si="25"/>
        <v>30000</v>
      </c>
      <c r="O163" s="35">
        <f t="shared" si="26"/>
        <v>1.2328767123287672</v>
      </c>
      <c r="P163" s="35">
        <f t="shared" si="27"/>
        <v>2.4657534246575343</v>
      </c>
    </row>
    <row r="164" spans="12:16" ht="15" hidden="1" customHeight="1">
      <c r="L164" s="43">
        <f t="shared" si="23"/>
        <v>44665</v>
      </c>
      <c r="M164" s="35">
        <f t="shared" si="24"/>
        <v>0</v>
      </c>
      <c r="N164" s="35">
        <f t="shared" si="25"/>
        <v>30000</v>
      </c>
      <c r="O164" s="35">
        <f t="shared" si="26"/>
        <v>1.2328767123287672</v>
      </c>
      <c r="P164" s="35">
        <f t="shared" si="27"/>
        <v>2.4657534246575343</v>
      </c>
    </row>
    <row r="165" spans="12:16" ht="15" hidden="1" customHeight="1">
      <c r="L165" s="43">
        <f t="shared" si="23"/>
        <v>44666</v>
      </c>
      <c r="M165" s="35">
        <f t="shared" si="24"/>
        <v>0</v>
      </c>
      <c r="N165" s="35">
        <f t="shared" si="25"/>
        <v>30000</v>
      </c>
      <c r="O165" s="35">
        <f t="shared" si="26"/>
        <v>1.2328767123287672</v>
      </c>
      <c r="P165" s="35">
        <f t="shared" si="27"/>
        <v>2.4657534246575343</v>
      </c>
    </row>
    <row r="166" spans="12:16" ht="15" hidden="1" customHeight="1">
      <c r="L166" s="43">
        <f t="shared" si="23"/>
        <v>44667</v>
      </c>
      <c r="M166" s="35">
        <f t="shared" si="24"/>
        <v>0</v>
      </c>
      <c r="N166" s="35">
        <f t="shared" si="25"/>
        <v>30000</v>
      </c>
      <c r="O166" s="35">
        <f t="shared" si="26"/>
        <v>1.2328767123287672</v>
      </c>
      <c r="P166" s="35">
        <f t="shared" si="27"/>
        <v>2.4657534246575343</v>
      </c>
    </row>
    <row r="167" spans="12:16" ht="15" hidden="1" customHeight="1">
      <c r="L167" s="43">
        <f t="shared" si="23"/>
        <v>44668</v>
      </c>
      <c r="M167" s="35">
        <f t="shared" si="24"/>
        <v>0</v>
      </c>
      <c r="N167" s="35">
        <f t="shared" si="25"/>
        <v>30000</v>
      </c>
      <c r="O167" s="35">
        <f t="shared" si="26"/>
        <v>1.2328767123287672</v>
      </c>
      <c r="P167" s="35">
        <f t="shared" si="27"/>
        <v>2.4657534246575343</v>
      </c>
    </row>
    <row r="168" spans="12:16" ht="15" hidden="1" customHeight="1">
      <c r="L168" s="43">
        <f t="shared" si="23"/>
        <v>44669</v>
      </c>
      <c r="M168" s="35">
        <f t="shared" si="24"/>
        <v>0</v>
      </c>
      <c r="N168" s="35">
        <f t="shared" si="25"/>
        <v>30000</v>
      </c>
      <c r="O168" s="35">
        <f t="shared" si="26"/>
        <v>1.2328767123287672</v>
      </c>
      <c r="P168" s="35">
        <f t="shared" si="27"/>
        <v>2.4657534246575343</v>
      </c>
    </row>
    <row r="169" spans="12:16" ht="15" hidden="1" customHeight="1">
      <c r="L169" s="43">
        <f t="shared" si="23"/>
        <v>44670</v>
      </c>
      <c r="M169" s="35">
        <f t="shared" si="24"/>
        <v>0</v>
      </c>
      <c r="N169" s="35">
        <f t="shared" si="25"/>
        <v>30000</v>
      </c>
      <c r="O169" s="35">
        <f t="shared" si="26"/>
        <v>1.2328767123287672</v>
      </c>
      <c r="P169" s="35">
        <f t="shared" si="27"/>
        <v>2.4657534246575343</v>
      </c>
    </row>
    <row r="170" spans="12:16" ht="15" hidden="1" customHeight="1">
      <c r="L170" s="43">
        <f t="shared" si="23"/>
        <v>44671</v>
      </c>
      <c r="M170" s="35">
        <f t="shared" si="24"/>
        <v>0</v>
      </c>
      <c r="N170" s="35">
        <f t="shared" si="25"/>
        <v>30000</v>
      </c>
      <c r="O170" s="35">
        <f t="shared" si="26"/>
        <v>1.2328767123287672</v>
      </c>
      <c r="P170" s="35">
        <f t="shared" si="27"/>
        <v>2.4657534246575343</v>
      </c>
    </row>
    <row r="171" spans="12:16" ht="15" hidden="1" customHeight="1">
      <c r="L171" s="43">
        <f t="shared" si="23"/>
        <v>44672</v>
      </c>
      <c r="M171" s="35">
        <f t="shared" si="24"/>
        <v>0</v>
      </c>
      <c r="N171" s="35">
        <f t="shared" si="25"/>
        <v>30000</v>
      </c>
      <c r="O171" s="35">
        <f t="shared" si="26"/>
        <v>1.2328767123287672</v>
      </c>
      <c r="P171" s="35">
        <f t="shared" si="27"/>
        <v>2.4657534246575343</v>
      </c>
    </row>
    <row r="172" spans="12:16" ht="15" hidden="1" customHeight="1">
      <c r="L172" s="43">
        <f t="shared" si="23"/>
        <v>44673</v>
      </c>
      <c r="M172" s="35">
        <f t="shared" si="24"/>
        <v>0</v>
      </c>
      <c r="N172" s="35">
        <f t="shared" si="25"/>
        <v>30000</v>
      </c>
      <c r="O172" s="35">
        <f t="shared" si="26"/>
        <v>1.2328767123287672</v>
      </c>
      <c r="P172" s="35">
        <f t="shared" si="27"/>
        <v>2.4657534246575343</v>
      </c>
    </row>
    <row r="173" spans="12:16" ht="15" hidden="1" customHeight="1">
      <c r="L173" s="43">
        <f t="shared" si="23"/>
        <v>44674</v>
      </c>
      <c r="M173" s="35">
        <f t="shared" si="24"/>
        <v>0</v>
      </c>
      <c r="N173" s="35">
        <f t="shared" si="25"/>
        <v>30000</v>
      </c>
      <c r="O173" s="35">
        <f t="shared" si="26"/>
        <v>1.2328767123287672</v>
      </c>
      <c r="P173" s="35">
        <f t="shared" si="27"/>
        <v>2.4657534246575343</v>
      </c>
    </row>
    <row r="174" spans="12:16" ht="15" hidden="1" customHeight="1">
      <c r="L174" s="43">
        <f t="shared" si="23"/>
        <v>44675</v>
      </c>
      <c r="M174" s="35">
        <f t="shared" si="24"/>
        <v>0</v>
      </c>
      <c r="N174" s="35">
        <f t="shared" si="25"/>
        <v>30000</v>
      </c>
      <c r="O174" s="35">
        <f t="shared" si="26"/>
        <v>1.2328767123287672</v>
      </c>
      <c r="P174" s="35">
        <f t="shared" si="27"/>
        <v>2.4657534246575343</v>
      </c>
    </row>
    <row r="175" spans="12:16" ht="15" hidden="1" customHeight="1">
      <c r="L175" s="43">
        <f t="shared" si="23"/>
        <v>44676</v>
      </c>
      <c r="M175" s="35">
        <f t="shared" si="24"/>
        <v>0</v>
      </c>
      <c r="N175" s="35">
        <f t="shared" si="25"/>
        <v>30000</v>
      </c>
      <c r="O175" s="35">
        <f t="shared" si="26"/>
        <v>1.2328767123287672</v>
      </c>
      <c r="P175" s="35">
        <f t="shared" si="27"/>
        <v>2.4657534246575343</v>
      </c>
    </row>
    <row r="176" spans="12:16" ht="15" hidden="1" customHeight="1">
      <c r="L176" s="43">
        <f t="shared" si="23"/>
        <v>44677</v>
      </c>
      <c r="M176" s="35">
        <f t="shared" si="24"/>
        <v>0</v>
      </c>
      <c r="N176" s="35">
        <f t="shared" si="25"/>
        <v>30000</v>
      </c>
      <c r="O176" s="35">
        <f t="shared" si="26"/>
        <v>1.2328767123287672</v>
      </c>
      <c r="P176" s="35">
        <f t="shared" si="27"/>
        <v>2.4657534246575343</v>
      </c>
    </row>
    <row r="177" spans="12:16" ht="15" hidden="1" customHeight="1">
      <c r="L177" s="43">
        <f t="shared" si="23"/>
        <v>44678</v>
      </c>
      <c r="M177" s="35">
        <f t="shared" si="24"/>
        <v>0</v>
      </c>
      <c r="N177" s="35">
        <f t="shared" si="25"/>
        <v>30000</v>
      </c>
      <c r="O177" s="35">
        <f t="shared" si="26"/>
        <v>1.2328767123287672</v>
      </c>
      <c r="P177" s="35">
        <f t="shared" si="27"/>
        <v>2.4657534246575343</v>
      </c>
    </row>
    <row r="178" spans="12:16" ht="15" hidden="1" customHeight="1">
      <c r="L178" s="43">
        <f t="shared" si="23"/>
        <v>44679</v>
      </c>
      <c r="M178" s="35">
        <f t="shared" si="24"/>
        <v>0</v>
      </c>
      <c r="N178" s="35">
        <f t="shared" si="25"/>
        <v>30000</v>
      </c>
      <c r="O178" s="35">
        <f t="shared" si="26"/>
        <v>1.2328767123287672</v>
      </c>
      <c r="P178" s="35">
        <f t="shared" si="27"/>
        <v>2.4657534246575343</v>
      </c>
    </row>
    <row r="179" spans="12:16" ht="15" hidden="1" customHeight="1">
      <c r="L179" s="43">
        <f t="shared" si="23"/>
        <v>44680</v>
      </c>
      <c r="M179" s="35">
        <f t="shared" si="24"/>
        <v>0</v>
      </c>
      <c r="N179" s="35">
        <f t="shared" si="25"/>
        <v>30000</v>
      </c>
      <c r="O179" s="35">
        <f t="shared" si="26"/>
        <v>1.2328767123287672</v>
      </c>
      <c r="P179" s="35">
        <f t="shared" si="27"/>
        <v>2.4657534246575343</v>
      </c>
    </row>
    <row r="180" spans="12:16" ht="15" hidden="1" customHeight="1">
      <c r="L180" s="43">
        <f t="shared" si="23"/>
        <v>44681</v>
      </c>
      <c r="M180" s="35">
        <f t="shared" si="24"/>
        <v>0</v>
      </c>
      <c r="N180" s="35">
        <f t="shared" si="25"/>
        <v>30000</v>
      </c>
      <c r="O180" s="35">
        <f t="shared" si="26"/>
        <v>1.2328767123287672</v>
      </c>
      <c r="P180" s="35">
        <f t="shared" si="27"/>
        <v>2.4657534246575343</v>
      </c>
    </row>
    <row r="181" spans="12:16" ht="15" hidden="1" customHeight="1">
      <c r="L181" s="43">
        <f t="shared" si="23"/>
        <v>44682</v>
      </c>
      <c r="M181" s="35">
        <f t="shared" si="24"/>
        <v>0</v>
      </c>
      <c r="N181" s="35">
        <f t="shared" si="25"/>
        <v>30000</v>
      </c>
      <c r="O181" s="35">
        <f t="shared" si="26"/>
        <v>1.2328767123287672</v>
      </c>
      <c r="P181" s="35">
        <f t="shared" si="27"/>
        <v>2.4657534246575343</v>
      </c>
    </row>
    <row r="182" spans="12:16" ht="15" hidden="1" customHeight="1">
      <c r="L182" s="43">
        <f t="shared" si="23"/>
        <v>44683</v>
      </c>
      <c r="M182" s="35">
        <f t="shared" si="24"/>
        <v>0</v>
      </c>
      <c r="N182" s="35">
        <f t="shared" si="25"/>
        <v>30000</v>
      </c>
      <c r="O182" s="35">
        <f t="shared" si="26"/>
        <v>1.2328767123287672</v>
      </c>
      <c r="P182" s="35">
        <f t="shared" si="27"/>
        <v>2.4657534246575343</v>
      </c>
    </row>
    <row r="183" spans="12:16" ht="15" hidden="1" customHeight="1">
      <c r="L183" s="43">
        <f t="shared" si="23"/>
        <v>44684</v>
      </c>
      <c r="M183" s="35">
        <f t="shared" si="24"/>
        <v>0</v>
      </c>
      <c r="N183" s="35">
        <f t="shared" si="25"/>
        <v>30000</v>
      </c>
      <c r="O183" s="35">
        <f t="shared" si="26"/>
        <v>1.2328767123287672</v>
      </c>
      <c r="P183" s="35">
        <f t="shared" si="27"/>
        <v>2.4657534246575343</v>
      </c>
    </row>
    <row r="184" spans="12:16" ht="15" hidden="1" customHeight="1">
      <c r="L184" s="43">
        <f t="shared" si="23"/>
        <v>44685</v>
      </c>
      <c r="M184" s="35">
        <f t="shared" si="24"/>
        <v>0</v>
      </c>
      <c r="N184" s="35">
        <f t="shared" si="25"/>
        <v>30000</v>
      </c>
      <c r="O184" s="35">
        <f t="shared" si="26"/>
        <v>1.2328767123287672</v>
      </c>
      <c r="P184" s="35">
        <f t="shared" si="27"/>
        <v>2.4657534246575343</v>
      </c>
    </row>
    <row r="185" spans="12:16" ht="15" hidden="1" customHeight="1">
      <c r="L185" s="43">
        <f t="shared" si="23"/>
        <v>44686</v>
      </c>
      <c r="M185" s="35">
        <f t="shared" si="24"/>
        <v>0</v>
      </c>
      <c r="N185" s="35">
        <f t="shared" si="25"/>
        <v>30000</v>
      </c>
      <c r="O185" s="35">
        <f t="shared" si="26"/>
        <v>1.2328767123287672</v>
      </c>
      <c r="P185" s="35">
        <f t="shared" si="27"/>
        <v>2.4657534246575343</v>
      </c>
    </row>
    <row r="186" spans="12:16" ht="15" hidden="1" customHeight="1">
      <c r="L186" s="43">
        <f t="shared" si="23"/>
        <v>44687</v>
      </c>
      <c r="M186" s="35">
        <f t="shared" si="24"/>
        <v>0</v>
      </c>
      <c r="N186" s="35">
        <f t="shared" si="25"/>
        <v>30000</v>
      </c>
      <c r="O186" s="35">
        <f t="shared" si="26"/>
        <v>1.2328767123287672</v>
      </c>
      <c r="P186" s="35">
        <f t="shared" si="27"/>
        <v>2.4657534246575343</v>
      </c>
    </row>
    <row r="187" spans="12:16" ht="15" hidden="1" customHeight="1">
      <c r="L187" s="43">
        <f t="shared" si="23"/>
        <v>44688</v>
      </c>
      <c r="M187" s="35">
        <f t="shared" si="24"/>
        <v>0</v>
      </c>
      <c r="N187" s="35">
        <f t="shared" si="25"/>
        <v>30000</v>
      </c>
      <c r="O187" s="35">
        <f t="shared" si="26"/>
        <v>1.2328767123287672</v>
      </c>
      <c r="P187" s="35">
        <f t="shared" si="27"/>
        <v>2.4657534246575343</v>
      </c>
    </row>
    <row r="188" spans="12:16" ht="15" hidden="1" customHeight="1">
      <c r="L188" s="43">
        <f t="shared" si="23"/>
        <v>44689</v>
      </c>
      <c r="M188" s="35">
        <f t="shared" si="24"/>
        <v>0</v>
      </c>
      <c r="N188" s="35">
        <f t="shared" si="25"/>
        <v>30000</v>
      </c>
      <c r="O188" s="35">
        <f t="shared" si="26"/>
        <v>1.2328767123287672</v>
      </c>
      <c r="P188" s="35">
        <f t="shared" si="27"/>
        <v>2.4657534246575343</v>
      </c>
    </row>
    <row r="189" spans="12:16" ht="15" hidden="1" customHeight="1">
      <c r="L189" s="43">
        <f t="shared" si="23"/>
        <v>44690</v>
      </c>
      <c r="M189" s="35">
        <f t="shared" si="24"/>
        <v>0</v>
      </c>
      <c r="N189" s="35">
        <f t="shared" si="25"/>
        <v>30000</v>
      </c>
      <c r="O189" s="35">
        <f t="shared" si="26"/>
        <v>1.2328767123287672</v>
      </c>
      <c r="P189" s="35">
        <f t="shared" si="27"/>
        <v>2.4657534246575343</v>
      </c>
    </row>
    <row r="190" spans="12:16" ht="15" hidden="1" customHeight="1">
      <c r="L190" s="43">
        <f t="shared" si="23"/>
        <v>44691</v>
      </c>
      <c r="M190" s="35">
        <f t="shared" si="24"/>
        <v>0</v>
      </c>
      <c r="N190" s="35">
        <f t="shared" si="25"/>
        <v>30000</v>
      </c>
      <c r="O190" s="35">
        <f t="shared" si="26"/>
        <v>1.2328767123287672</v>
      </c>
      <c r="P190" s="35">
        <f t="shared" si="27"/>
        <v>2.4657534246575343</v>
      </c>
    </row>
    <row r="191" spans="12:16" ht="15" hidden="1" customHeight="1">
      <c r="L191" s="43">
        <f t="shared" si="23"/>
        <v>44692</v>
      </c>
      <c r="M191" s="35">
        <f t="shared" si="24"/>
        <v>0</v>
      </c>
      <c r="N191" s="35">
        <f t="shared" si="25"/>
        <v>30000</v>
      </c>
      <c r="O191" s="35">
        <f t="shared" si="26"/>
        <v>1.2328767123287672</v>
      </c>
      <c r="P191" s="35">
        <f t="shared" si="27"/>
        <v>2.4657534246575343</v>
      </c>
    </row>
    <row r="192" spans="12:16" ht="15" hidden="1" customHeight="1">
      <c r="L192" s="43">
        <f t="shared" si="23"/>
        <v>44693</v>
      </c>
      <c r="M192" s="35">
        <f t="shared" si="24"/>
        <v>0</v>
      </c>
      <c r="N192" s="35">
        <f t="shared" si="25"/>
        <v>30000</v>
      </c>
      <c r="O192" s="35">
        <f t="shared" si="26"/>
        <v>1.2328767123287672</v>
      </c>
      <c r="P192" s="35">
        <f t="shared" si="27"/>
        <v>2.4657534246575343</v>
      </c>
    </row>
    <row r="193" spans="12:16" ht="15" hidden="1" customHeight="1">
      <c r="L193" s="43">
        <f t="shared" si="23"/>
        <v>44694</v>
      </c>
      <c r="M193" s="35">
        <f t="shared" si="24"/>
        <v>0</v>
      </c>
      <c r="N193" s="35">
        <f t="shared" si="25"/>
        <v>30000</v>
      </c>
      <c r="O193" s="35">
        <f t="shared" si="26"/>
        <v>1.2328767123287672</v>
      </c>
      <c r="P193" s="35">
        <f t="shared" si="27"/>
        <v>2.4657534246575343</v>
      </c>
    </row>
    <row r="194" spans="12:16" ht="15" hidden="1" customHeight="1">
      <c r="L194" s="43">
        <f t="shared" si="23"/>
        <v>44695</v>
      </c>
      <c r="M194" s="35">
        <f t="shared" si="24"/>
        <v>0</v>
      </c>
      <c r="N194" s="35">
        <f t="shared" si="25"/>
        <v>30000</v>
      </c>
      <c r="O194" s="35">
        <f t="shared" si="26"/>
        <v>1.2328767123287672</v>
      </c>
      <c r="P194" s="35">
        <f t="shared" si="27"/>
        <v>2.4657534246575343</v>
      </c>
    </row>
    <row r="195" spans="12:16" ht="15" hidden="1" customHeight="1">
      <c r="L195" s="43">
        <f t="shared" si="23"/>
        <v>44696</v>
      </c>
      <c r="M195" s="35">
        <f t="shared" si="24"/>
        <v>0</v>
      </c>
      <c r="N195" s="35">
        <f t="shared" si="25"/>
        <v>30000</v>
      </c>
      <c r="O195" s="35">
        <f t="shared" si="26"/>
        <v>1.2328767123287672</v>
      </c>
      <c r="P195" s="35">
        <f t="shared" si="27"/>
        <v>2.4657534246575343</v>
      </c>
    </row>
    <row r="196" spans="12:16" ht="15" hidden="1" customHeight="1">
      <c r="L196" s="43">
        <f t="shared" si="23"/>
        <v>44697</v>
      </c>
      <c r="M196" s="35">
        <f t="shared" si="24"/>
        <v>0</v>
      </c>
      <c r="N196" s="35">
        <f t="shared" si="25"/>
        <v>30000</v>
      </c>
      <c r="O196" s="35">
        <f t="shared" si="26"/>
        <v>1.2328767123287672</v>
      </c>
      <c r="P196" s="35">
        <f t="shared" si="27"/>
        <v>2.4657534246575343</v>
      </c>
    </row>
    <row r="197" spans="12:16" ht="15" hidden="1" customHeight="1">
      <c r="L197" s="43">
        <f t="shared" si="23"/>
        <v>44698</v>
      </c>
      <c r="M197" s="35">
        <f t="shared" si="24"/>
        <v>0</v>
      </c>
      <c r="N197" s="35">
        <f t="shared" si="25"/>
        <v>30000</v>
      </c>
      <c r="O197" s="35">
        <f t="shared" si="26"/>
        <v>1.2328767123287672</v>
      </c>
      <c r="P197" s="35">
        <f t="shared" si="27"/>
        <v>2.4657534246575343</v>
      </c>
    </row>
    <row r="198" spans="12:16" ht="15" hidden="1" customHeight="1">
      <c r="L198" s="43">
        <f t="shared" si="23"/>
        <v>44699</v>
      </c>
      <c r="M198" s="35">
        <f t="shared" si="24"/>
        <v>0</v>
      </c>
      <c r="N198" s="35">
        <f t="shared" si="25"/>
        <v>30000</v>
      </c>
      <c r="O198" s="35">
        <f t="shared" si="26"/>
        <v>1.2328767123287672</v>
      </c>
      <c r="P198" s="35">
        <f t="shared" si="27"/>
        <v>2.4657534246575343</v>
      </c>
    </row>
    <row r="199" spans="12:16" ht="15" hidden="1" customHeight="1">
      <c r="L199" s="43">
        <f t="shared" si="23"/>
        <v>44700</v>
      </c>
      <c r="M199" s="35">
        <f t="shared" si="24"/>
        <v>0</v>
      </c>
      <c r="N199" s="35">
        <f t="shared" si="25"/>
        <v>30000</v>
      </c>
      <c r="O199" s="35">
        <f t="shared" si="26"/>
        <v>1.2328767123287672</v>
      </c>
      <c r="P199" s="35">
        <f t="shared" si="27"/>
        <v>2.4657534246575343</v>
      </c>
    </row>
    <row r="200" spans="12:16" ht="15" hidden="1" customHeight="1">
      <c r="L200" s="43">
        <f t="shared" si="23"/>
        <v>44701</v>
      </c>
      <c r="M200" s="35">
        <f t="shared" si="24"/>
        <v>0</v>
      </c>
      <c r="N200" s="35">
        <f t="shared" si="25"/>
        <v>30000</v>
      </c>
      <c r="O200" s="35">
        <f t="shared" si="26"/>
        <v>1.2328767123287672</v>
      </c>
      <c r="P200" s="35">
        <f t="shared" si="27"/>
        <v>2.4657534246575343</v>
      </c>
    </row>
    <row r="201" spans="12:16" ht="15" hidden="1" customHeight="1">
      <c r="L201" s="43">
        <f t="shared" si="23"/>
        <v>44702</v>
      </c>
      <c r="M201" s="35">
        <f t="shared" si="24"/>
        <v>0</v>
      </c>
      <c r="N201" s="35">
        <f t="shared" si="25"/>
        <v>30000</v>
      </c>
      <c r="O201" s="35">
        <f t="shared" si="26"/>
        <v>1.2328767123287672</v>
      </c>
      <c r="P201" s="35">
        <f t="shared" si="27"/>
        <v>2.4657534246575343</v>
      </c>
    </row>
    <row r="202" spans="12:16" ht="15" hidden="1" customHeight="1">
      <c r="L202" s="43">
        <f t="shared" si="23"/>
        <v>44703</v>
      </c>
      <c r="M202" s="35">
        <f t="shared" si="24"/>
        <v>0</v>
      </c>
      <c r="N202" s="35">
        <f t="shared" si="25"/>
        <v>30000</v>
      </c>
      <c r="O202" s="35">
        <f t="shared" si="26"/>
        <v>1.2328767123287672</v>
      </c>
      <c r="P202" s="35">
        <f t="shared" si="27"/>
        <v>2.4657534246575343</v>
      </c>
    </row>
    <row r="203" spans="12:16" ht="15" hidden="1" customHeight="1">
      <c r="L203" s="43">
        <f t="shared" si="23"/>
        <v>44704</v>
      </c>
      <c r="M203" s="35">
        <f t="shared" si="24"/>
        <v>0</v>
      </c>
      <c r="N203" s="35">
        <f t="shared" si="25"/>
        <v>30000</v>
      </c>
      <c r="O203" s="35">
        <f t="shared" si="26"/>
        <v>1.2328767123287672</v>
      </c>
      <c r="P203" s="35">
        <f t="shared" si="27"/>
        <v>2.4657534246575343</v>
      </c>
    </row>
    <row r="204" spans="12:16" ht="15" hidden="1" customHeight="1">
      <c r="L204" s="43">
        <f t="shared" si="23"/>
        <v>44705</v>
      </c>
      <c r="M204" s="35">
        <f t="shared" si="24"/>
        <v>0</v>
      </c>
      <c r="N204" s="35">
        <f t="shared" si="25"/>
        <v>30000</v>
      </c>
      <c r="O204" s="35">
        <f t="shared" si="26"/>
        <v>1.2328767123287672</v>
      </c>
      <c r="P204" s="35">
        <f t="shared" si="27"/>
        <v>2.4657534246575343</v>
      </c>
    </row>
    <row r="205" spans="12:16" ht="15" hidden="1" customHeight="1">
      <c r="L205" s="43">
        <f t="shared" si="23"/>
        <v>44706</v>
      </c>
      <c r="M205" s="35">
        <f t="shared" si="24"/>
        <v>0</v>
      </c>
      <c r="N205" s="35">
        <f t="shared" si="25"/>
        <v>30000</v>
      </c>
      <c r="O205" s="35">
        <f t="shared" si="26"/>
        <v>1.2328767123287672</v>
      </c>
      <c r="P205" s="35">
        <f t="shared" si="27"/>
        <v>2.4657534246575343</v>
      </c>
    </row>
    <row r="206" spans="12:16" ht="15" hidden="1" customHeight="1">
      <c r="L206" s="43">
        <f t="shared" si="23"/>
        <v>44707</v>
      </c>
      <c r="M206" s="35">
        <f t="shared" si="24"/>
        <v>0</v>
      </c>
      <c r="N206" s="35">
        <f t="shared" si="25"/>
        <v>30000</v>
      </c>
      <c r="O206" s="35">
        <f t="shared" si="26"/>
        <v>1.2328767123287672</v>
      </c>
      <c r="P206" s="35">
        <f t="shared" si="27"/>
        <v>2.4657534246575343</v>
      </c>
    </row>
    <row r="207" spans="12:16" ht="15" hidden="1" customHeight="1">
      <c r="L207" s="43">
        <f t="shared" si="23"/>
        <v>44708</v>
      </c>
      <c r="M207" s="35">
        <f t="shared" si="24"/>
        <v>0</v>
      </c>
      <c r="N207" s="35">
        <f t="shared" si="25"/>
        <v>30000</v>
      </c>
      <c r="O207" s="35">
        <f t="shared" si="26"/>
        <v>1.2328767123287672</v>
      </c>
      <c r="P207" s="35">
        <f t="shared" si="27"/>
        <v>2.4657534246575343</v>
      </c>
    </row>
    <row r="208" spans="12:16" ht="15" hidden="1" customHeight="1">
      <c r="L208" s="43">
        <f t="shared" si="23"/>
        <v>44709</v>
      </c>
      <c r="M208" s="35">
        <f t="shared" si="24"/>
        <v>0</v>
      </c>
      <c r="N208" s="35">
        <f t="shared" si="25"/>
        <v>30000</v>
      </c>
      <c r="O208" s="35">
        <f t="shared" si="26"/>
        <v>1.2328767123287672</v>
      </c>
      <c r="P208" s="35">
        <f t="shared" si="27"/>
        <v>2.4657534246575343</v>
      </c>
    </row>
    <row r="209" spans="12:16" ht="15" hidden="1" customHeight="1">
      <c r="L209" s="43">
        <f t="shared" si="23"/>
        <v>44710</v>
      </c>
      <c r="M209" s="35">
        <f t="shared" si="24"/>
        <v>0</v>
      </c>
      <c r="N209" s="35">
        <f t="shared" si="25"/>
        <v>30000</v>
      </c>
      <c r="O209" s="35">
        <f t="shared" si="26"/>
        <v>1.2328767123287672</v>
      </c>
      <c r="P209" s="35">
        <f t="shared" si="27"/>
        <v>2.4657534246575343</v>
      </c>
    </row>
    <row r="210" spans="12:16" ht="15" hidden="1" customHeight="1">
      <c r="L210" s="43">
        <f t="shared" si="23"/>
        <v>44711</v>
      </c>
      <c r="M210" s="35">
        <f t="shared" si="24"/>
        <v>0</v>
      </c>
      <c r="N210" s="35">
        <f t="shared" si="25"/>
        <v>30000</v>
      </c>
      <c r="O210" s="35">
        <f t="shared" si="26"/>
        <v>1.2328767123287672</v>
      </c>
      <c r="P210" s="35">
        <f t="shared" si="27"/>
        <v>2.4657534246575343</v>
      </c>
    </row>
    <row r="211" spans="12:16" ht="15" hidden="1" customHeight="1">
      <c r="L211" s="43">
        <f t="shared" si="23"/>
        <v>44712</v>
      </c>
      <c r="M211" s="35">
        <f t="shared" si="24"/>
        <v>0</v>
      </c>
      <c r="N211" s="35">
        <f t="shared" si="25"/>
        <v>30000</v>
      </c>
      <c r="O211" s="35">
        <f t="shared" si="26"/>
        <v>1.2328767123287672</v>
      </c>
      <c r="P211" s="35">
        <f t="shared" si="27"/>
        <v>2.4657534246575343</v>
      </c>
    </row>
    <row r="212" spans="12:16" ht="15" hidden="1" customHeight="1">
      <c r="L212" s="43">
        <f t="shared" si="23"/>
        <v>44713</v>
      </c>
      <c r="M212" s="35">
        <f t="shared" si="24"/>
        <v>0</v>
      </c>
      <c r="N212" s="35">
        <f t="shared" si="25"/>
        <v>30000</v>
      </c>
      <c r="O212" s="35">
        <f t="shared" si="26"/>
        <v>1.2328767123287672</v>
      </c>
      <c r="P212" s="35">
        <f t="shared" si="27"/>
        <v>2.4657534246575343</v>
      </c>
    </row>
    <row r="213" spans="12:16" ht="15" hidden="1" customHeight="1">
      <c r="L213" s="43">
        <f t="shared" si="23"/>
        <v>44714</v>
      </c>
      <c r="M213" s="35">
        <f t="shared" si="24"/>
        <v>0</v>
      </c>
      <c r="N213" s="35">
        <f t="shared" si="25"/>
        <v>30000</v>
      </c>
      <c r="O213" s="35">
        <f t="shared" si="26"/>
        <v>1.2328767123287672</v>
      </c>
      <c r="P213" s="35">
        <f t="shared" si="27"/>
        <v>2.4657534246575343</v>
      </c>
    </row>
    <row r="214" spans="12:16" ht="15" hidden="1" customHeight="1">
      <c r="L214" s="43">
        <f t="shared" si="23"/>
        <v>44715</v>
      </c>
      <c r="M214" s="35">
        <f t="shared" si="24"/>
        <v>0</v>
      </c>
      <c r="N214" s="35">
        <f t="shared" si="25"/>
        <v>30000</v>
      </c>
      <c r="O214" s="35">
        <f t="shared" si="26"/>
        <v>1.2328767123287672</v>
      </c>
      <c r="P214" s="35">
        <f t="shared" si="27"/>
        <v>2.4657534246575343</v>
      </c>
    </row>
    <row r="215" spans="12:16" ht="15" hidden="1" customHeight="1">
      <c r="L215" s="43">
        <f t="shared" si="23"/>
        <v>44716</v>
      </c>
      <c r="M215" s="35">
        <f t="shared" si="24"/>
        <v>0</v>
      </c>
      <c r="N215" s="35">
        <f t="shared" si="25"/>
        <v>30000</v>
      </c>
      <c r="O215" s="35">
        <f t="shared" si="26"/>
        <v>1.2328767123287672</v>
      </c>
      <c r="P215" s="35">
        <f t="shared" si="27"/>
        <v>2.4657534246575343</v>
      </c>
    </row>
    <row r="216" spans="12:16" ht="15" hidden="1" customHeight="1">
      <c r="L216" s="43">
        <f t="shared" si="23"/>
        <v>44717</v>
      </c>
      <c r="M216" s="35">
        <f t="shared" si="24"/>
        <v>0</v>
      </c>
      <c r="N216" s="35">
        <f t="shared" si="25"/>
        <v>30000</v>
      </c>
      <c r="O216" s="35">
        <f t="shared" si="26"/>
        <v>1.2328767123287672</v>
      </c>
      <c r="P216" s="35">
        <f t="shared" si="27"/>
        <v>2.4657534246575343</v>
      </c>
    </row>
    <row r="217" spans="12:16" ht="15" hidden="1" customHeight="1">
      <c r="L217" s="43">
        <f t="shared" si="23"/>
        <v>44718</v>
      </c>
      <c r="M217" s="35">
        <f t="shared" si="24"/>
        <v>0</v>
      </c>
      <c r="N217" s="35">
        <f t="shared" si="25"/>
        <v>30000</v>
      </c>
      <c r="O217" s="35">
        <f t="shared" si="26"/>
        <v>1.2328767123287672</v>
      </c>
      <c r="P217" s="35">
        <f t="shared" si="27"/>
        <v>2.4657534246575343</v>
      </c>
    </row>
    <row r="218" spans="12:16" ht="15" hidden="1" customHeight="1">
      <c r="L218" s="43">
        <f t="shared" si="23"/>
        <v>44719</v>
      </c>
      <c r="M218" s="35">
        <f t="shared" si="24"/>
        <v>0</v>
      </c>
      <c r="N218" s="35">
        <f t="shared" si="25"/>
        <v>30000</v>
      </c>
      <c r="O218" s="35">
        <f t="shared" si="26"/>
        <v>1.2328767123287672</v>
      </c>
      <c r="P218" s="35">
        <f t="shared" si="27"/>
        <v>2.4657534246575343</v>
      </c>
    </row>
    <row r="219" spans="12:16" ht="15" hidden="1" customHeight="1">
      <c r="L219" s="43">
        <f t="shared" si="23"/>
        <v>44720</v>
      </c>
      <c r="M219" s="35">
        <f t="shared" si="24"/>
        <v>0</v>
      </c>
      <c r="N219" s="35">
        <f t="shared" si="25"/>
        <v>30000</v>
      </c>
      <c r="O219" s="35">
        <f t="shared" si="26"/>
        <v>1.2328767123287672</v>
      </c>
      <c r="P219" s="35">
        <f t="shared" si="27"/>
        <v>2.4657534246575343</v>
      </c>
    </row>
    <row r="220" spans="12:16" ht="15" hidden="1" customHeight="1">
      <c r="L220" s="43">
        <f t="shared" si="23"/>
        <v>44721</v>
      </c>
      <c r="M220" s="35">
        <f t="shared" si="24"/>
        <v>0</v>
      </c>
      <c r="N220" s="35">
        <f t="shared" si="25"/>
        <v>30000</v>
      </c>
      <c r="O220" s="35">
        <f t="shared" si="26"/>
        <v>1.2328767123287672</v>
      </c>
      <c r="P220" s="35">
        <f t="shared" si="27"/>
        <v>2.4657534246575343</v>
      </c>
    </row>
    <row r="221" spans="12:16" ht="15" hidden="1" customHeight="1">
      <c r="L221" s="43">
        <f t="shared" si="23"/>
        <v>44722</v>
      </c>
      <c r="M221" s="35">
        <f t="shared" si="24"/>
        <v>0</v>
      </c>
      <c r="N221" s="35">
        <f t="shared" si="25"/>
        <v>30000</v>
      </c>
      <c r="O221" s="35">
        <f t="shared" si="26"/>
        <v>1.2328767123287672</v>
      </c>
      <c r="P221" s="35">
        <f t="shared" si="27"/>
        <v>2.4657534246575343</v>
      </c>
    </row>
    <row r="222" spans="12:16" ht="15" hidden="1" customHeight="1">
      <c r="L222" s="43">
        <f t="shared" si="23"/>
        <v>44723</v>
      </c>
      <c r="M222" s="35">
        <f t="shared" si="24"/>
        <v>0</v>
      </c>
      <c r="N222" s="35">
        <f t="shared" si="25"/>
        <v>30000</v>
      </c>
      <c r="O222" s="35">
        <f t="shared" si="26"/>
        <v>1.2328767123287672</v>
      </c>
      <c r="P222" s="35">
        <f t="shared" si="27"/>
        <v>2.4657534246575343</v>
      </c>
    </row>
    <row r="223" spans="12:16" ht="15" hidden="1" customHeight="1">
      <c r="L223" s="43">
        <f t="shared" ref="L223:L286" si="28">IFERROR(IF(MAX(L222+1,Дата_получения_Займа+1)&gt;Дата_погашения_Займа,"-",MAX(L222+1,Дата_получения_Займа+1)),"-")</f>
        <v>44724</v>
      </c>
      <c r="M223" s="35">
        <f t="shared" ref="M223:M286" si="29">IFERROR(VLOOKUP(L223,$B$31:$E$59,4,FALSE),0)</f>
        <v>0</v>
      </c>
      <c r="N223" s="35">
        <f t="shared" ref="N223:N286" si="30">IF(ISNUMBER(N222),N222-M223,$E$20)</f>
        <v>30000</v>
      </c>
      <c r="O223" s="35">
        <f t="shared" ref="O223:O286" si="31">IFERROR(IF(ISNUMBER(N222),N222,$E$20)*IF(L223&gt;=$J$20,$E$25,$E$24)/IF(MOD(YEAR(L223),4),365,366)*IF(ISBLANK(L222),L223-$E$22,L223-L222),0)</f>
        <v>1.2328767123287672</v>
      </c>
      <c r="P223" s="35">
        <f t="shared" ref="P223:P286" si="32">IFERROR(IF(ISNUMBER(N222),N222,$E$20)*3%/IF(MOD(YEAR(L223),4),365,366)*IF(ISBLANK(L222),(L223-$E$22),L223-L222),0)</f>
        <v>2.4657534246575343</v>
      </c>
    </row>
    <row r="224" spans="12:16" ht="15" hidden="1" customHeight="1">
      <c r="L224" s="43">
        <f t="shared" si="28"/>
        <v>44725</v>
      </c>
      <c r="M224" s="35">
        <f t="shared" si="29"/>
        <v>0</v>
      </c>
      <c r="N224" s="35">
        <f t="shared" si="30"/>
        <v>30000</v>
      </c>
      <c r="O224" s="35">
        <f t="shared" si="31"/>
        <v>1.2328767123287672</v>
      </c>
      <c r="P224" s="35">
        <f t="shared" si="32"/>
        <v>2.4657534246575343</v>
      </c>
    </row>
    <row r="225" spans="12:16" ht="15" hidden="1" customHeight="1">
      <c r="L225" s="43">
        <f t="shared" si="28"/>
        <v>44726</v>
      </c>
      <c r="M225" s="35">
        <f t="shared" si="29"/>
        <v>0</v>
      </c>
      <c r="N225" s="35">
        <f t="shared" si="30"/>
        <v>30000</v>
      </c>
      <c r="O225" s="35">
        <f t="shared" si="31"/>
        <v>1.2328767123287672</v>
      </c>
      <c r="P225" s="35">
        <f t="shared" si="32"/>
        <v>2.4657534246575343</v>
      </c>
    </row>
    <row r="226" spans="12:16" ht="15" hidden="1" customHeight="1">
      <c r="L226" s="43">
        <f t="shared" si="28"/>
        <v>44727</v>
      </c>
      <c r="M226" s="35">
        <f t="shared" si="29"/>
        <v>0</v>
      </c>
      <c r="N226" s="35">
        <f t="shared" si="30"/>
        <v>30000</v>
      </c>
      <c r="O226" s="35">
        <f t="shared" si="31"/>
        <v>1.2328767123287672</v>
      </c>
      <c r="P226" s="35">
        <f t="shared" si="32"/>
        <v>2.4657534246575343</v>
      </c>
    </row>
    <row r="227" spans="12:16" ht="15" hidden="1" customHeight="1">
      <c r="L227" s="43">
        <f t="shared" si="28"/>
        <v>44728</v>
      </c>
      <c r="M227" s="35">
        <f t="shared" si="29"/>
        <v>0</v>
      </c>
      <c r="N227" s="35">
        <f t="shared" si="30"/>
        <v>30000</v>
      </c>
      <c r="O227" s="35">
        <f t="shared" si="31"/>
        <v>1.2328767123287672</v>
      </c>
      <c r="P227" s="35">
        <f t="shared" si="32"/>
        <v>2.4657534246575343</v>
      </c>
    </row>
    <row r="228" spans="12:16" ht="15" hidden="1" customHeight="1">
      <c r="L228" s="43">
        <f t="shared" si="28"/>
        <v>44729</v>
      </c>
      <c r="M228" s="35">
        <f t="shared" si="29"/>
        <v>0</v>
      </c>
      <c r="N228" s="35">
        <f t="shared" si="30"/>
        <v>30000</v>
      </c>
      <c r="O228" s="35">
        <f t="shared" si="31"/>
        <v>1.2328767123287672</v>
      </c>
      <c r="P228" s="35">
        <f t="shared" si="32"/>
        <v>2.4657534246575343</v>
      </c>
    </row>
    <row r="229" spans="12:16" ht="15" hidden="1" customHeight="1">
      <c r="L229" s="43">
        <f t="shared" si="28"/>
        <v>44730</v>
      </c>
      <c r="M229" s="35">
        <f t="shared" si="29"/>
        <v>0</v>
      </c>
      <c r="N229" s="35">
        <f t="shared" si="30"/>
        <v>30000</v>
      </c>
      <c r="O229" s="35">
        <f t="shared" si="31"/>
        <v>1.2328767123287672</v>
      </c>
      <c r="P229" s="35">
        <f t="shared" si="32"/>
        <v>2.4657534246575343</v>
      </c>
    </row>
    <row r="230" spans="12:16" ht="15" hidden="1" customHeight="1">
      <c r="L230" s="43">
        <f t="shared" si="28"/>
        <v>44731</v>
      </c>
      <c r="M230" s="35">
        <f t="shared" si="29"/>
        <v>0</v>
      </c>
      <c r="N230" s="35">
        <f t="shared" si="30"/>
        <v>30000</v>
      </c>
      <c r="O230" s="35">
        <f t="shared" si="31"/>
        <v>1.2328767123287672</v>
      </c>
      <c r="P230" s="35">
        <f t="shared" si="32"/>
        <v>2.4657534246575343</v>
      </c>
    </row>
    <row r="231" spans="12:16" ht="15" hidden="1" customHeight="1">
      <c r="L231" s="43">
        <f t="shared" si="28"/>
        <v>44732</v>
      </c>
      <c r="M231" s="35">
        <f t="shared" si="29"/>
        <v>0</v>
      </c>
      <c r="N231" s="35">
        <f t="shared" si="30"/>
        <v>30000</v>
      </c>
      <c r="O231" s="35">
        <f t="shared" si="31"/>
        <v>1.2328767123287672</v>
      </c>
      <c r="P231" s="35">
        <f t="shared" si="32"/>
        <v>2.4657534246575343</v>
      </c>
    </row>
    <row r="232" spans="12:16" ht="15" hidden="1" customHeight="1">
      <c r="L232" s="43">
        <f t="shared" si="28"/>
        <v>44733</v>
      </c>
      <c r="M232" s="35">
        <f t="shared" si="29"/>
        <v>0</v>
      </c>
      <c r="N232" s="35">
        <f t="shared" si="30"/>
        <v>30000</v>
      </c>
      <c r="O232" s="35">
        <f t="shared" si="31"/>
        <v>1.2328767123287672</v>
      </c>
      <c r="P232" s="35">
        <f t="shared" si="32"/>
        <v>2.4657534246575343</v>
      </c>
    </row>
    <row r="233" spans="12:16" ht="15" hidden="1" customHeight="1">
      <c r="L233" s="43">
        <f t="shared" si="28"/>
        <v>44734</v>
      </c>
      <c r="M233" s="35">
        <f t="shared" si="29"/>
        <v>0</v>
      </c>
      <c r="N233" s="35">
        <f t="shared" si="30"/>
        <v>30000</v>
      </c>
      <c r="O233" s="35">
        <f t="shared" si="31"/>
        <v>1.2328767123287672</v>
      </c>
      <c r="P233" s="35">
        <f t="shared" si="32"/>
        <v>2.4657534246575343</v>
      </c>
    </row>
    <row r="234" spans="12:16" ht="15" hidden="1" customHeight="1">
      <c r="L234" s="43">
        <f t="shared" si="28"/>
        <v>44735</v>
      </c>
      <c r="M234" s="35">
        <f t="shared" si="29"/>
        <v>0</v>
      </c>
      <c r="N234" s="35">
        <f t="shared" si="30"/>
        <v>30000</v>
      </c>
      <c r="O234" s="35">
        <f t="shared" si="31"/>
        <v>1.2328767123287672</v>
      </c>
      <c r="P234" s="35">
        <f t="shared" si="32"/>
        <v>2.4657534246575343</v>
      </c>
    </row>
    <row r="235" spans="12:16" ht="15" hidden="1" customHeight="1">
      <c r="L235" s="43">
        <f t="shared" si="28"/>
        <v>44736</v>
      </c>
      <c r="M235" s="35">
        <f t="shared" si="29"/>
        <v>0</v>
      </c>
      <c r="N235" s="35">
        <f t="shared" si="30"/>
        <v>30000</v>
      </c>
      <c r="O235" s="35">
        <f t="shared" si="31"/>
        <v>1.2328767123287672</v>
      </c>
      <c r="P235" s="35">
        <f t="shared" si="32"/>
        <v>2.4657534246575343</v>
      </c>
    </row>
    <row r="236" spans="12:16" ht="15" hidden="1" customHeight="1">
      <c r="L236" s="43">
        <f t="shared" si="28"/>
        <v>44737</v>
      </c>
      <c r="M236" s="35">
        <f t="shared" si="29"/>
        <v>0</v>
      </c>
      <c r="N236" s="35">
        <f t="shared" si="30"/>
        <v>30000</v>
      </c>
      <c r="O236" s="35">
        <f t="shared" si="31"/>
        <v>1.2328767123287672</v>
      </c>
      <c r="P236" s="35">
        <f t="shared" si="32"/>
        <v>2.4657534246575343</v>
      </c>
    </row>
    <row r="237" spans="12:16" ht="15" hidden="1" customHeight="1">
      <c r="L237" s="43">
        <f t="shared" si="28"/>
        <v>44738</v>
      </c>
      <c r="M237" s="35">
        <f t="shared" si="29"/>
        <v>0</v>
      </c>
      <c r="N237" s="35">
        <f t="shared" si="30"/>
        <v>30000</v>
      </c>
      <c r="O237" s="35">
        <f t="shared" si="31"/>
        <v>1.2328767123287672</v>
      </c>
      <c r="P237" s="35">
        <f t="shared" si="32"/>
        <v>2.4657534246575343</v>
      </c>
    </row>
    <row r="238" spans="12:16" ht="15" hidden="1" customHeight="1">
      <c r="L238" s="43">
        <f t="shared" si="28"/>
        <v>44739</v>
      </c>
      <c r="M238" s="35">
        <f t="shared" si="29"/>
        <v>0</v>
      </c>
      <c r="N238" s="35">
        <f t="shared" si="30"/>
        <v>30000</v>
      </c>
      <c r="O238" s="35">
        <f t="shared" si="31"/>
        <v>1.2328767123287672</v>
      </c>
      <c r="P238" s="35">
        <f t="shared" si="32"/>
        <v>2.4657534246575343</v>
      </c>
    </row>
    <row r="239" spans="12:16" ht="15" hidden="1" customHeight="1">
      <c r="L239" s="43">
        <f t="shared" si="28"/>
        <v>44740</v>
      </c>
      <c r="M239" s="35">
        <f t="shared" si="29"/>
        <v>0</v>
      </c>
      <c r="N239" s="35">
        <f t="shared" si="30"/>
        <v>30000</v>
      </c>
      <c r="O239" s="35">
        <f t="shared" si="31"/>
        <v>1.2328767123287672</v>
      </c>
      <c r="P239" s="35">
        <f t="shared" si="32"/>
        <v>2.4657534246575343</v>
      </c>
    </row>
    <row r="240" spans="12:16" ht="15" hidden="1" customHeight="1">
      <c r="L240" s="43">
        <f t="shared" si="28"/>
        <v>44741</v>
      </c>
      <c r="M240" s="35">
        <f t="shared" si="29"/>
        <v>0</v>
      </c>
      <c r="N240" s="35">
        <f t="shared" si="30"/>
        <v>30000</v>
      </c>
      <c r="O240" s="35">
        <f t="shared" si="31"/>
        <v>1.2328767123287672</v>
      </c>
      <c r="P240" s="35">
        <f t="shared" si="32"/>
        <v>2.4657534246575343</v>
      </c>
    </row>
    <row r="241" spans="12:16" ht="15" hidden="1" customHeight="1">
      <c r="L241" s="43">
        <f t="shared" si="28"/>
        <v>44742</v>
      </c>
      <c r="M241" s="35">
        <f t="shared" si="29"/>
        <v>0</v>
      </c>
      <c r="N241" s="35">
        <f t="shared" si="30"/>
        <v>30000</v>
      </c>
      <c r="O241" s="35">
        <f t="shared" si="31"/>
        <v>1.2328767123287672</v>
      </c>
      <c r="P241" s="35">
        <f t="shared" si="32"/>
        <v>2.4657534246575343</v>
      </c>
    </row>
    <row r="242" spans="12:16" ht="15" hidden="1" customHeight="1">
      <c r="L242" s="43">
        <f t="shared" si="28"/>
        <v>44743</v>
      </c>
      <c r="M242" s="35">
        <f t="shared" si="29"/>
        <v>0</v>
      </c>
      <c r="N242" s="35">
        <f t="shared" si="30"/>
        <v>30000</v>
      </c>
      <c r="O242" s="35">
        <f t="shared" si="31"/>
        <v>1.2328767123287672</v>
      </c>
      <c r="P242" s="35">
        <f t="shared" si="32"/>
        <v>2.4657534246575343</v>
      </c>
    </row>
    <row r="243" spans="12:16" ht="15" hidden="1" customHeight="1">
      <c r="L243" s="43">
        <f t="shared" si="28"/>
        <v>44744</v>
      </c>
      <c r="M243" s="35">
        <f t="shared" si="29"/>
        <v>0</v>
      </c>
      <c r="N243" s="35">
        <f t="shared" si="30"/>
        <v>30000</v>
      </c>
      <c r="O243" s="35">
        <f t="shared" si="31"/>
        <v>1.2328767123287672</v>
      </c>
      <c r="P243" s="35">
        <f t="shared" si="32"/>
        <v>2.4657534246575343</v>
      </c>
    </row>
    <row r="244" spans="12:16" ht="15" hidden="1" customHeight="1">
      <c r="L244" s="43">
        <f t="shared" si="28"/>
        <v>44745</v>
      </c>
      <c r="M244" s="35">
        <f t="shared" si="29"/>
        <v>0</v>
      </c>
      <c r="N244" s="35">
        <f t="shared" si="30"/>
        <v>30000</v>
      </c>
      <c r="O244" s="35">
        <f t="shared" si="31"/>
        <v>1.2328767123287672</v>
      </c>
      <c r="P244" s="35">
        <f t="shared" si="32"/>
        <v>2.4657534246575343</v>
      </c>
    </row>
    <row r="245" spans="12:16" ht="15" hidden="1" customHeight="1">
      <c r="L245" s="43">
        <f t="shared" si="28"/>
        <v>44746</v>
      </c>
      <c r="M245" s="35">
        <f t="shared" si="29"/>
        <v>0</v>
      </c>
      <c r="N245" s="35">
        <f t="shared" si="30"/>
        <v>30000</v>
      </c>
      <c r="O245" s="35">
        <f t="shared" si="31"/>
        <v>1.2328767123287672</v>
      </c>
      <c r="P245" s="35">
        <f t="shared" si="32"/>
        <v>2.4657534246575343</v>
      </c>
    </row>
    <row r="246" spans="12:16" ht="15" hidden="1" customHeight="1">
      <c r="L246" s="43">
        <f t="shared" si="28"/>
        <v>44747</v>
      </c>
      <c r="M246" s="35">
        <f t="shared" si="29"/>
        <v>0</v>
      </c>
      <c r="N246" s="35">
        <f t="shared" si="30"/>
        <v>30000</v>
      </c>
      <c r="O246" s="35">
        <f t="shared" si="31"/>
        <v>1.2328767123287672</v>
      </c>
      <c r="P246" s="35">
        <f t="shared" si="32"/>
        <v>2.4657534246575343</v>
      </c>
    </row>
    <row r="247" spans="12:16" ht="15" hidden="1" customHeight="1">
      <c r="L247" s="43">
        <f t="shared" si="28"/>
        <v>44748</v>
      </c>
      <c r="M247" s="35">
        <f t="shared" si="29"/>
        <v>0</v>
      </c>
      <c r="N247" s="35">
        <f t="shared" si="30"/>
        <v>30000</v>
      </c>
      <c r="O247" s="35">
        <f t="shared" si="31"/>
        <v>1.2328767123287672</v>
      </c>
      <c r="P247" s="35">
        <f t="shared" si="32"/>
        <v>2.4657534246575343</v>
      </c>
    </row>
    <row r="248" spans="12:16" ht="15" hidden="1" customHeight="1">
      <c r="L248" s="43">
        <f t="shared" si="28"/>
        <v>44749</v>
      </c>
      <c r="M248" s="35">
        <f t="shared" si="29"/>
        <v>0</v>
      </c>
      <c r="N248" s="35">
        <f t="shared" si="30"/>
        <v>30000</v>
      </c>
      <c r="O248" s="35">
        <f t="shared" si="31"/>
        <v>1.2328767123287672</v>
      </c>
      <c r="P248" s="35">
        <f t="shared" si="32"/>
        <v>2.4657534246575343</v>
      </c>
    </row>
    <row r="249" spans="12:16" ht="15" hidden="1" customHeight="1">
      <c r="L249" s="43">
        <f t="shared" si="28"/>
        <v>44750</v>
      </c>
      <c r="M249" s="35">
        <f t="shared" si="29"/>
        <v>0</v>
      </c>
      <c r="N249" s="35">
        <f t="shared" si="30"/>
        <v>30000</v>
      </c>
      <c r="O249" s="35">
        <f t="shared" si="31"/>
        <v>1.2328767123287672</v>
      </c>
      <c r="P249" s="35">
        <f t="shared" si="32"/>
        <v>2.4657534246575343</v>
      </c>
    </row>
    <row r="250" spans="12:16" ht="15" hidden="1" customHeight="1">
      <c r="L250" s="43">
        <f t="shared" si="28"/>
        <v>44751</v>
      </c>
      <c r="M250" s="35">
        <f t="shared" si="29"/>
        <v>0</v>
      </c>
      <c r="N250" s="35">
        <f t="shared" si="30"/>
        <v>30000</v>
      </c>
      <c r="O250" s="35">
        <f t="shared" si="31"/>
        <v>1.2328767123287672</v>
      </c>
      <c r="P250" s="35">
        <f t="shared" si="32"/>
        <v>2.4657534246575343</v>
      </c>
    </row>
    <row r="251" spans="12:16" ht="15" hidden="1" customHeight="1">
      <c r="L251" s="43">
        <f t="shared" si="28"/>
        <v>44752</v>
      </c>
      <c r="M251" s="35">
        <f t="shared" si="29"/>
        <v>0</v>
      </c>
      <c r="N251" s="35">
        <f t="shared" si="30"/>
        <v>30000</v>
      </c>
      <c r="O251" s="35">
        <f t="shared" si="31"/>
        <v>1.2328767123287672</v>
      </c>
      <c r="P251" s="35">
        <f t="shared" si="32"/>
        <v>2.4657534246575343</v>
      </c>
    </row>
    <row r="252" spans="12:16" ht="15" hidden="1" customHeight="1">
      <c r="L252" s="43">
        <f t="shared" si="28"/>
        <v>44753</v>
      </c>
      <c r="M252" s="35">
        <f t="shared" si="29"/>
        <v>0</v>
      </c>
      <c r="N252" s="35">
        <f t="shared" si="30"/>
        <v>30000</v>
      </c>
      <c r="O252" s="35">
        <f t="shared" si="31"/>
        <v>1.2328767123287672</v>
      </c>
      <c r="P252" s="35">
        <f t="shared" si="32"/>
        <v>2.4657534246575343</v>
      </c>
    </row>
    <row r="253" spans="12:16" ht="15" hidden="1" customHeight="1">
      <c r="L253" s="43">
        <f t="shared" si="28"/>
        <v>44754</v>
      </c>
      <c r="M253" s="35">
        <f t="shared" si="29"/>
        <v>0</v>
      </c>
      <c r="N253" s="35">
        <f t="shared" si="30"/>
        <v>30000</v>
      </c>
      <c r="O253" s="35">
        <f t="shared" si="31"/>
        <v>1.2328767123287672</v>
      </c>
      <c r="P253" s="35">
        <f t="shared" si="32"/>
        <v>2.4657534246575343</v>
      </c>
    </row>
    <row r="254" spans="12:16" ht="15" hidden="1" customHeight="1">
      <c r="L254" s="43">
        <f t="shared" si="28"/>
        <v>44755</v>
      </c>
      <c r="M254" s="35">
        <f t="shared" si="29"/>
        <v>0</v>
      </c>
      <c r="N254" s="35">
        <f t="shared" si="30"/>
        <v>30000</v>
      </c>
      <c r="O254" s="35">
        <f t="shared" si="31"/>
        <v>1.2328767123287672</v>
      </c>
      <c r="P254" s="35">
        <f t="shared" si="32"/>
        <v>2.4657534246575343</v>
      </c>
    </row>
    <row r="255" spans="12:16" ht="15" hidden="1" customHeight="1">
      <c r="L255" s="43">
        <f t="shared" si="28"/>
        <v>44756</v>
      </c>
      <c r="M255" s="35">
        <f t="shared" si="29"/>
        <v>0</v>
      </c>
      <c r="N255" s="35">
        <f t="shared" si="30"/>
        <v>30000</v>
      </c>
      <c r="O255" s="35">
        <f t="shared" si="31"/>
        <v>1.2328767123287672</v>
      </c>
      <c r="P255" s="35">
        <f t="shared" si="32"/>
        <v>2.4657534246575343</v>
      </c>
    </row>
    <row r="256" spans="12:16" ht="15" hidden="1" customHeight="1">
      <c r="L256" s="43">
        <f t="shared" si="28"/>
        <v>44757</v>
      </c>
      <c r="M256" s="35">
        <f t="shared" si="29"/>
        <v>0</v>
      </c>
      <c r="N256" s="35">
        <f t="shared" si="30"/>
        <v>30000</v>
      </c>
      <c r="O256" s="35">
        <f t="shared" si="31"/>
        <v>1.2328767123287672</v>
      </c>
      <c r="P256" s="35">
        <f t="shared" si="32"/>
        <v>2.4657534246575343</v>
      </c>
    </row>
    <row r="257" spans="12:16" ht="15" hidden="1" customHeight="1">
      <c r="L257" s="43">
        <f t="shared" si="28"/>
        <v>44758</v>
      </c>
      <c r="M257" s="35">
        <f t="shared" si="29"/>
        <v>0</v>
      </c>
      <c r="N257" s="35">
        <f t="shared" si="30"/>
        <v>30000</v>
      </c>
      <c r="O257" s="35">
        <f t="shared" si="31"/>
        <v>1.2328767123287672</v>
      </c>
      <c r="P257" s="35">
        <f t="shared" si="32"/>
        <v>2.4657534246575343</v>
      </c>
    </row>
    <row r="258" spans="12:16" ht="15" hidden="1" customHeight="1">
      <c r="L258" s="43">
        <f t="shared" si="28"/>
        <v>44759</v>
      </c>
      <c r="M258" s="35">
        <f t="shared" si="29"/>
        <v>0</v>
      </c>
      <c r="N258" s="35">
        <f t="shared" si="30"/>
        <v>30000</v>
      </c>
      <c r="O258" s="35">
        <f t="shared" si="31"/>
        <v>1.2328767123287672</v>
      </c>
      <c r="P258" s="35">
        <f t="shared" si="32"/>
        <v>2.4657534246575343</v>
      </c>
    </row>
    <row r="259" spans="12:16" ht="15" hidden="1" customHeight="1">
      <c r="L259" s="43">
        <f t="shared" si="28"/>
        <v>44760</v>
      </c>
      <c r="M259" s="35">
        <f t="shared" si="29"/>
        <v>0</v>
      </c>
      <c r="N259" s="35">
        <f t="shared" si="30"/>
        <v>30000</v>
      </c>
      <c r="O259" s="35">
        <f t="shared" si="31"/>
        <v>1.2328767123287672</v>
      </c>
      <c r="P259" s="35">
        <f t="shared" si="32"/>
        <v>2.4657534246575343</v>
      </c>
    </row>
    <row r="260" spans="12:16" ht="15" hidden="1" customHeight="1">
      <c r="L260" s="43">
        <f t="shared" si="28"/>
        <v>44761</v>
      </c>
      <c r="M260" s="35">
        <f t="shared" si="29"/>
        <v>0</v>
      </c>
      <c r="N260" s="35">
        <f t="shared" si="30"/>
        <v>30000</v>
      </c>
      <c r="O260" s="35">
        <f t="shared" si="31"/>
        <v>1.2328767123287672</v>
      </c>
      <c r="P260" s="35">
        <f t="shared" si="32"/>
        <v>2.4657534246575343</v>
      </c>
    </row>
    <row r="261" spans="12:16" ht="15" hidden="1" customHeight="1">
      <c r="L261" s="43">
        <f t="shared" si="28"/>
        <v>44762</v>
      </c>
      <c r="M261" s="35">
        <f t="shared" si="29"/>
        <v>0</v>
      </c>
      <c r="N261" s="35">
        <f t="shared" si="30"/>
        <v>30000</v>
      </c>
      <c r="O261" s="35">
        <f t="shared" si="31"/>
        <v>1.2328767123287672</v>
      </c>
      <c r="P261" s="35">
        <f t="shared" si="32"/>
        <v>2.4657534246575343</v>
      </c>
    </row>
    <row r="262" spans="12:16" ht="15" hidden="1" customHeight="1">
      <c r="L262" s="43">
        <f t="shared" si="28"/>
        <v>44763</v>
      </c>
      <c r="M262" s="35">
        <f t="shared" si="29"/>
        <v>0</v>
      </c>
      <c r="N262" s="35">
        <f t="shared" si="30"/>
        <v>30000</v>
      </c>
      <c r="O262" s="35">
        <f t="shared" si="31"/>
        <v>1.2328767123287672</v>
      </c>
      <c r="P262" s="35">
        <f t="shared" si="32"/>
        <v>2.4657534246575343</v>
      </c>
    </row>
    <row r="263" spans="12:16" ht="15" hidden="1" customHeight="1">
      <c r="L263" s="43">
        <f t="shared" si="28"/>
        <v>44764</v>
      </c>
      <c r="M263" s="35">
        <f t="shared" si="29"/>
        <v>0</v>
      </c>
      <c r="N263" s="35">
        <f t="shared" si="30"/>
        <v>30000</v>
      </c>
      <c r="O263" s="35">
        <f t="shared" si="31"/>
        <v>1.2328767123287672</v>
      </c>
      <c r="P263" s="35">
        <f t="shared" si="32"/>
        <v>2.4657534246575343</v>
      </c>
    </row>
    <row r="264" spans="12:16" ht="15" hidden="1" customHeight="1">
      <c r="L264" s="43">
        <f t="shared" si="28"/>
        <v>44765</v>
      </c>
      <c r="M264" s="35">
        <f t="shared" si="29"/>
        <v>0</v>
      </c>
      <c r="N264" s="35">
        <f t="shared" si="30"/>
        <v>30000</v>
      </c>
      <c r="O264" s="35">
        <f t="shared" si="31"/>
        <v>1.2328767123287672</v>
      </c>
      <c r="P264" s="35">
        <f t="shared" si="32"/>
        <v>2.4657534246575343</v>
      </c>
    </row>
    <row r="265" spans="12:16" ht="15" hidden="1" customHeight="1">
      <c r="L265" s="43">
        <f t="shared" si="28"/>
        <v>44766</v>
      </c>
      <c r="M265" s="35">
        <f t="shared" si="29"/>
        <v>0</v>
      </c>
      <c r="N265" s="35">
        <f t="shared" si="30"/>
        <v>30000</v>
      </c>
      <c r="O265" s="35">
        <f t="shared" si="31"/>
        <v>1.2328767123287672</v>
      </c>
      <c r="P265" s="35">
        <f t="shared" si="32"/>
        <v>2.4657534246575343</v>
      </c>
    </row>
    <row r="266" spans="12:16" ht="15" hidden="1" customHeight="1">
      <c r="L266" s="43">
        <f t="shared" si="28"/>
        <v>44767</v>
      </c>
      <c r="M266" s="35">
        <f t="shared" si="29"/>
        <v>0</v>
      </c>
      <c r="N266" s="35">
        <f t="shared" si="30"/>
        <v>30000</v>
      </c>
      <c r="O266" s="35">
        <f t="shared" si="31"/>
        <v>1.2328767123287672</v>
      </c>
      <c r="P266" s="35">
        <f t="shared" si="32"/>
        <v>2.4657534246575343</v>
      </c>
    </row>
    <row r="267" spans="12:16" ht="15" hidden="1" customHeight="1">
      <c r="L267" s="43">
        <f t="shared" si="28"/>
        <v>44768</v>
      </c>
      <c r="M267" s="35">
        <f t="shared" si="29"/>
        <v>0</v>
      </c>
      <c r="N267" s="35">
        <f t="shared" si="30"/>
        <v>30000</v>
      </c>
      <c r="O267" s="35">
        <f t="shared" si="31"/>
        <v>1.2328767123287672</v>
      </c>
      <c r="P267" s="35">
        <f t="shared" si="32"/>
        <v>2.4657534246575343</v>
      </c>
    </row>
    <row r="268" spans="12:16" ht="15" hidden="1" customHeight="1">
      <c r="L268" s="43">
        <f t="shared" si="28"/>
        <v>44769</v>
      </c>
      <c r="M268" s="35">
        <f t="shared" si="29"/>
        <v>0</v>
      </c>
      <c r="N268" s="35">
        <f t="shared" si="30"/>
        <v>30000</v>
      </c>
      <c r="O268" s="35">
        <f t="shared" si="31"/>
        <v>1.2328767123287672</v>
      </c>
      <c r="P268" s="35">
        <f t="shared" si="32"/>
        <v>2.4657534246575343</v>
      </c>
    </row>
    <row r="269" spans="12:16" ht="15" hidden="1" customHeight="1">
      <c r="L269" s="43">
        <f t="shared" si="28"/>
        <v>44770</v>
      </c>
      <c r="M269" s="35">
        <f t="shared" si="29"/>
        <v>0</v>
      </c>
      <c r="N269" s="35">
        <f t="shared" si="30"/>
        <v>30000</v>
      </c>
      <c r="O269" s="35">
        <f t="shared" si="31"/>
        <v>1.2328767123287672</v>
      </c>
      <c r="P269" s="35">
        <f t="shared" si="32"/>
        <v>2.4657534246575343</v>
      </c>
    </row>
    <row r="270" spans="12:16" ht="15" hidden="1" customHeight="1">
      <c r="L270" s="43">
        <f t="shared" si="28"/>
        <v>44771</v>
      </c>
      <c r="M270" s="35">
        <f t="shared" si="29"/>
        <v>0</v>
      </c>
      <c r="N270" s="35">
        <f t="shared" si="30"/>
        <v>30000</v>
      </c>
      <c r="O270" s="35">
        <f t="shared" si="31"/>
        <v>1.2328767123287672</v>
      </c>
      <c r="P270" s="35">
        <f t="shared" si="32"/>
        <v>2.4657534246575343</v>
      </c>
    </row>
    <row r="271" spans="12:16" ht="15" hidden="1" customHeight="1">
      <c r="L271" s="43">
        <f t="shared" si="28"/>
        <v>44772</v>
      </c>
      <c r="M271" s="35">
        <f t="shared" si="29"/>
        <v>0</v>
      </c>
      <c r="N271" s="35">
        <f t="shared" si="30"/>
        <v>30000</v>
      </c>
      <c r="O271" s="35">
        <f t="shared" si="31"/>
        <v>1.2328767123287672</v>
      </c>
      <c r="P271" s="35">
        <f t="shared" si="32"/>
        <v>2.4657534246575343</v>
      </c>
    </row>
    <row r="272" spans="12:16" ht="15" hidden="1" customHeight="1">
      <c r="L272" s="43">
        <f t="shared" si="28"/>
        <v>44773</v>
      </c>
      <c r="M272" s="35">
        <f t="shared" si="29"/>
        <v>0</v>
      </c>
      <c r="N272" s="35">
        <f t="shared" si="30"/>
        <v>30000</v>
      </c>
      <c r="O272" s="35">
        <f t="shared" si="31"/>
        <v>1.2328767123287672</v>
      </c>
      <c r="P272" s="35">
        <f t="shared" si="32"/>
        <v>2.4657534246575343</v>
      </c>
    </row>
    <row r="273" spans="12:16" ht="15" hidden="1" customHeight="1">
      <c r="L273" s="43">
        <f t="shared" si="28"/>
        <v>44774</v>
      </c>
      <c r="M273" s="35">
        <f t="shared" si="29"/>
        <v>0</v>
      </c>
      <c r="N273" s="35">
        <f t="shared" si="30"/>
        <v>30000</v>
      </c>
      <c r="O273" s="35">
        <f t="shared" si="31"/>
        <v>1.2328767123287672</v>
      </c>
      <c r="P273" s="35">
        <f t="shared" si="32"/>
        <v>2.4657534246575343</v>
      </c>
    </row>
    <row r="274" spans="12:16" ht="15" hidden="1" customHeight="1">
      <c r="L274" s="43">
        <f t="shared" si="28"/>
        <v>44775</v>
      </c>
      <c r="M274" s="35">
        <f t="shared" si="29"/>
        <v>0</v>
      </c>
      <c r="N274" s="35">
        <f t="shared" si="30"/>
        <v>30000</v>
      </c>
      <c r="O274" s="35">
        <f t="shared" si="31"/>
        <v>1.2328767123287672</v>
      </c>
      <c r="P274" s="35">
        <f t="shared" si="32"/>
        <v>2.4657534246575343</v>
      </c>
    </row>
    <row r="275" spans="12:16" ht="15" hidden="1" customHeight="1">
      <c r="L275" s="43">
        <f t="shared" si="28"/>
        <v>44776</v>
      </c>
      <c r="M275" s="35">
        <f t="shared" si="29"/>
        <v>0</v>
      </c>
      <c r="N275" s="35">
        <f t="shared" si="30"/>
        <v>30000</v>
      </c>
      <c r="O275" s="35">
        <f t="shared" si="31"/>
        <v>1.2328767123287672</v>
      </c>
      <c r="P275" s="35">
        <f t="shared" si="32"/>
        <v>2.4657534246575343</v>
      </c>
    </row>
    <row r="276" spans="12:16" ht="15" hidden="1" customHeight="1">
      <c r="L276" s="43">
        <f t="shared" si="28"/>
        <v>44777</v>
      </c>
      <c r="M276" s="35">
        <f t="shared" si="29"/>
        <v>0</v>
      </c>
      <c r="N276" s="35">
        <f t="shared" si="30"/>
        <v>30000</v>
      </c>
      <c r="O276" s="35">
        <f t="shared" si="31"/>
        <v>1.2328767123287672</v>
      </c>
      <c r="P276" s="35">
        <f t="shared" si="32"/>
        <v>2.4657534246575343</v>
      </c>
    </row>
    <row r="277" spans="12:16" ht="15" hidden="1" customHeight="1">
      <c r="L277" s="43">
        <f t="shared" si="28"/>
        <v>44778</v>
      </c>
      <c r="M277" s="35">
        <f t="shared" si="29"/>
        <v>0</v>
      </c>
      <c r="N277" s="35">
        <f t="shared" si="30"/>
        <v>30000</v>
      </c>
      <c r="O277" s="35">
        <f t="shared" si="31"/>
        <v>1.2328767123287672</v>
      </c>
      <c r="P277" s="35">
        <f t="shared" si="32"/>
        <v>2.4657534246575343</v>
      </c>
    </row>
    <row r="278" spans="12:16" ht="15" hidden="1" customHeight="1">
      <c r="L278" s="43">
        <f t="shared" si="28"/>
        <v>44779</v>
      </c>
      <c r="M278" s="35">
        <f t="shared" si="29"/>
        <v>0</v>
      </c>
      <c r="N278" s="35">
        <f t="shared" si="30"/>
        <v>30000</v>
      </c>
      <c r="O278" s="35">
        <f t="shared" si="31"/>
        <v>1.2328767123287672</v>
      </c>
      <c r="P278" s="35">
        <f t="shared" si="32"/>
        <v>2.4657534246575343</v>
      </c>
    </row>
    <row r="279" spans="12:16" ht="15" hidden="1" customHeight="1">
      <c r="L279" s="43">
        <f t="shared" si="28"/>
        <v>44780</v>
      </c>
      <c r="M279" s="35">
        <f t="shared" si="29"/>
        <v>0</v>
      </c>
      <c r="N279" s="35">
        <f t="shared" si="30"/>
        <v>30000</v>
      </c>
      <c r="O279" s="35">
        <f t="shared" si="31"/>
        <v>1.2328767123287672</v>
      </c>
      <c r="P279" s="35">
        <f t="shared" si="32"/>
        <v>2.4657534246575343</v>
      </c>
    </row>
    <row r="280" spans="12:16" ht="15" hidden="1" customHeight="1">
      <c r="L280" s="43">
        <f t="shared" si="28"/>
        <v>44781</v>
      </c>
      <c r="M280" s="35">
        <f t="shared" si="29"/>
        <v>0</v>
      </c>
      <c r="N280" s="35">
        <f t="shared" si="30"/>
        <v>30000</v>
      </c>
      <c r="O280" s="35">
        <f t="shared" si="31"/>
        <v>1.2328767123287672</v>
      </c>
      <c r="P280" s="35">
        <f t="shared" si="32"/>
        <v>2.4657534246575343</v>
      </c>
    </row>
    <row r="281" spans="12:16" ht="15" hidden="1" customHeight="1">
      <c r="L281" s="43">
        <f t="shared" si="28"/>
        <v>44782</v>
      </c>
      <c r="M281" s="35">
        <f t="shared" si="29"/>
        <v>0</v>
      </c>
      <c r="N281" s="35">
        <f t="shared" si="30"/>
        <v>30000</v>
      </c>
      <c r="O281" s="35">
        <f t="shared" si="31"/>
        <v>1.2328767123287672</v>
      </c>
      <c r="P281" s="35">
        <f t="shared" si="32"/>
        <v>2.4657534246575343</v>
      </c>
    </row>
    <row r="282" spans="12:16" ht="15" hidden="1" customHeight="1">
      <c r="L282" s="43">
        <f t="shared" si="28"/>
        <v>44783</v>
      </c>
      <c r="M282" s="35">
        <f t="shared" si="29"/>
        <v>0</v>
      </c>
      <c r="N282" s="35">
        <f t="shared" si="30"/>
        <v>30000</v>
      </c>
      <c r="O282" s="35">
        <f t="shared" si="31"/>
        <v>1.2328767123287672</v>
      </c>
      <c r="P282" s="35">
        <f t="shared" si="32"/>
        <v>2.4657534246575343</v>
      </c>
    </row>
    <row r="283" spans="12:16" ht="15" hidden="1" customHeight="1">
      <c r="L283" s="43">
        <f t="shared" si="28"/>
        <v>44784</v>
      </c>
      <c r="M283" s="35">
        <f t="shared" si="29"/>
        <v>0</v>
      </c>
      <c r="N283" s="35">
        <f t="shared" si="30"/>
        <v>30000</v>
      </c>
      <c r="O283" s="35">
        <f t="shared" si="31"/>
        <v>1.2328767123287672</v>
      </c>
      <c r="P283" s="35">
        <f t="shared" si="32"/>
        <v>2.4657534246575343</v>
      </c>
    </row>
    <row r="284" spans="12:16" ht="15" hidden="1" customHeight="1">
      <c r="L284" s="43">
        <f t="shared" si="28"/>
        <v>44785</v>
      </c>
      <c r="M284" s="35">
        <f t="shared" si="29"/>
        <v>0</v>
      </c>
      <c r="N284" s="35">
        <f t="shared" si="30"/>
        <v>30000</v>
      </c>
      <c r="O284" s="35">
        <f t="shared" si="31"/>
        <v>1.2328767123287672</v>
      </c>
      <c r="P284" s="35">
        <f t="shared" si="32"/>
        <v>2.4657534246575343</v>
      </c>
    </row>
    <row r="285" spans="12:16" ht="15" hidden="1" customHeight="1">
      <c r="L285" s="43">
        <f t="shared" si="28"/>
        <v>44786</v>
      </c>
      <c r="M285" s="35">
        <f t="shared" si="29"/>
        <v>0</v>
      </c>
      <c r="N285" s="35">
        <f t="shared" si="30"/>
        <v>30000</v>
      </c>
      <c r="O285" s="35">
        <f t="shared" si="31"/>
        <v>1.2328767123287672</v>
      </c>
      <c r="P285" s="35">
        <f t="shared" si="32"/>
        <v>2.4657534246575343</v>
      </c>
    </row>
    <row r="286" spans="12:16" ht="15" hidden="1" customHeight="1">
      <c r="L286" s="43">
        <f t="shared" si="28"/>
        <v>44787</v>
      </c>
      <c r="M286" s="35">
        <f t="shared" si="29"/>
        <v>0</v>
      </c>
      <c r="N286" s="35">
        <f t="shared" si="30"/>
        <v>30000</v>
      </c>
      <c r="O286" s="35">
        <f t="shared" si="31"/>
        <v>1.2328767123287672</v>
      </c>
      <c r="P286" s="35">
        <f t="shared" si="32"/>
        <v>2.4657534246575343</v>
      </c>
    </row>
    <row r="287" spans="12:16" ht="15" hidden="1" customHeight="1">
      <c r="L287" s="43">
        <f t="shared" ref="L287:L350" si="33">IFERROR(IF(MAX(L286+1,Дата_получения_Займа+1)&gt;Дата_погашения_Займа,"-",MAX(L286+1,Дата_получения_Займа+1)),"-")</f>
        <v>44788</v>
      </c>
      <c r="M287" s="35">
        <f t="shared" ref="M287:M350" si="34">IFERROR(VLOOKUP(L287,$B$31:$E$59,4,FALSE),0)</f>
        <v>0</v>
      </c>
      <c r="N287" s="35">
        <f t="shared" ref="N287:N350" si="35">IF(ISNUMBER(N286),N286-M287,$E$20)</f>
        <v>30000</v>
      </c>
      <c r="O287" s="35">
        <f t="shared" ref="O287:O350" si="36">IFERROR(IF(ISNUMBER(N286),N286,$E$20)*IF(L287&gt;=$J$20,$E$25,$E$24)/IF(MOD(YEAR(L287),4),365,366)*IF(ISBLANK(L286),L287-$E$22,L287-L286),0)</f>
        <v>1.2328767123287672</v>
      </c>
      <c r="P287" s="35">
        <f t="shared" ref="P287:P350" si="37">IFERROR(IF(ISNUMBER(N286),N286,$E$20)*3%/IF(MOD(YEAR(L287),4),365,366)*IF(ISBLANK(L286),(L287-$E$22),L287-L286),0)</f>
        <v>2.4657534246575343</v>
      </c>
    </row>
    <row r="288" spans="12:16" ht="15" hidden="1" customHeight="1">
      <c r="L288" s="43">
        <f t="shared" si="33"/>
        <v>44789</v>
      </c>
      <c r="M288" s="35">
        <f t="shared" si="34"/>
        <v>0</v>
      </c>
      <c r="N288" s="35">
        <f t="shared" si="35"/>
        <v>30000</v>
      </c>
      <c r="O288" s="35">
        <f t="shared" si="36"/>
        <v>1.2328767123287672</v>
      </c>
      <c r="P288" s="35">
        <f t="shared" si="37"/>
        <v>2.4657534246575343</v>
      </c>
    </row>
    <row r="289" spans="12:16" ht="15" hidden="1" customHeight="1">
      <c r="L289" s="43">
        <f t="shared" si="33"/>
        <v>44790</v>
      </c>
      <c r="M289" s="35">
        <f t="shared" si="34"/>
        <v>0</v>
      </c>
      <c r="N289" s="35">
        <f t="shared" si="35"/>
        <v>30000</v>
      </c>
      <c r="O289" s="35">
        <f t="shared" si="36"/>
        <v>1.2328767123287672</v>
      </c>
      <c r="P289" s="35">
        <f t="shared" si="37"/>
        <v>2.4657534246575343</v>
      </c>
    </row>
    <row r="290" spans="12:16" ht="15" hidden="1" customHeight="1">
      <c r="L290" s="43">
        <f t="shared" si="33"/>
        <v>44791</v>
      </c>
      <c r="M290" s="35">
        <f t="shared" si="34"/>
        <v>0</v>
      </c>
      <c r="N290" s="35">
        <f t="shared" si="35"/>
        <v>30000</v>
      </c>
      <c r="O290" s="35">
        <f t="shared" si="36"/>
        <v>1.2328767123287672</v>
      </c>
      <c r="P290" s="35">
        <f t="shared" si="37"/>
        <v>2.4657534246575343</v>
      </c>
    </row>
    <row r="291" spans="12:16" ht="15" hidden="1" customHeight="1">
      <c r="L291" s="43">
        <f t="shared" si="33"/>
        <v>44792</v>
      </c>
      <c r="M291" s="35">
        <f t="shared" si="34"/>
        <v>0</v>
      </c>
      <c r="N291" s="35">
        <f t="shared" si="35"/>
        <v>30000</v>
      </c>
      <c r="O291" s="35">
        <f t="shared" si="36"/>
        <v>1.2328767123287672</v>
      </c>
      <c r="P291" s="35">
        <f t="shared" si="37"/>
        <v>2.4657534246575343</v>
      </c>
    </row>
    <row r="292" spans="12:16" ht="15" hidden="1" customHeight="1">
      <c r="L292" s="43">
        <f t="shared" si="33"/>
        <v>44793</v>
      </c>
      <c r="M292" s="35">
        <f t="shared" si="34"/>
        <v>0</v>
      </c>
      <c r="N292" s="35">
        <f t="shared" si="35"/>
        <v>30000</v>
      </c>
      <c r="O292" s="35">
        <f t="shared" si="36"/>
        <v>1.2328767123287672</v>
      </c>
      <c r="P292" s="35">
        <f t="shared" si="37"/>
        <v>2.4657534246575343</v>
      </c>
    </row>
    <row r="293" spans="12:16" ht="15" hidden="1" customHeight="1">
      <c r="L293" s="43">
        <f t="shared" si="33"/>
        <v>44794</v>
      </c>
      <c r="M293" s="35">
        <f t="shared" si="34"/>
        <v>0</v>
      </c>
      <c r="N293" s="35">
        <f t="shared" si="35"/>
        <v>30000</v>
      </c>
      <c r="O293" s="35">
        <f t="shared" si="36"/>
        <v>1.2328767123287672</v>
      </c>
      <c r="P293" s="35">
        <f t="shared" si="37"/>
        <v>2.4657534246575343</v>
      </c>
    </row>
    <row r="294" spans="12:16" ht="15" hidden="1" customHeight="1">
      <c r="L294" s="43">
        <f t="shared" si="33"/>
        <v>44795</v>
      </c>
      <c r="M294" s="35">
        <f t="shared" si="34"/>
        <v>0</v>
      </c>
      <c r="N294" s="35">
        <f t="shared" si="35"/>
        <v>30000</v>
      </c>
      <c r="O294" s="35">
        <f t="shared" si="36"/>
        <v>1.2328767123287672</v>
      </c>
      <c r="P294" s="35">
        <f t="shared" si="37"/>
        <v>2.4657534246575343</v>
      </c>
    </row>
    <row r="295" spans="12:16" ht="15" hidden="1" customHeight="1">
      <c r="L295" s="43">
        <f t="shared" si="33"/>
        <v>44796</v>
      </c>
      <c r="M295" s="35">
        <f t="shared" si="34"/>
        <v>0</v>
      </c>
      <c r="N295" s="35">
        <f t="shared" si="35"/>
        <v>30000</v>
      </c>
      <c r="O295" s="35">
        <f t="shared" si="36"/>
        <v>1.2328767123287672</v>
      </c>
      <c r="P295" s="35">
        <f t="shared" si="37"/>
        <v>2.4657534246575343</v>
      </c>
    </row>
    <row r="296" spans="12:16" ht="15" hidden="1" customHeight="1">
      <c r="L296" s="43">
        <f t="shared" si="33"/>
        <v>44797</v>
      </c>
      <c r="M296" s="35">
        <f t="shared" si="34"/>
        <v>0</v>
      </c>
      <c r="N296" s="35">
        <f t="shared" si="35"/>
        <v>30000</v>
      </c>
      <c r="O296" s="35">
        <f t="shared" si="36"/>
        <v>1.2328767123287672</v>
      </c>
      <c r="P296" s="35">
        <f t="shared" si="37"/>
        <v>2.4657534246575343</v>
      </c>
    </row>
    <row r="297" spans="12:16" ht="15" hidden="1" customHeight="1">
      <c r="L297" s="43">
        <f t="shared" si="33"/>
        <v>44798</v>
      </c>
      <c r="M297" s="35">
        <f t="shared" si="34"/>
        <v>0</v>
      </c>
      <c r="N297" s="35">
        <f t="shared" si="35"/>
        <v>30000</v>
      </c>
      <c r="O297" s="35">
        <f t="shared" si="36"/>
        <v>1.2328767123287672</v>
      </c>
      <c r="P297" s="35">
        <f t="shared" si="37"/>
        <v>2.4657534246575343</v>
      </c>
    </row>
    <row r="298" spans="12:16" ht="15" hidden="1" customHeight="1">
      <c r="L298" s="43">
        <f t="shared" si="33"/>
        <v>44799</v>
      </c>
      <c r="M298" s="35">
        <f t="shared" si="34"/>
        <v>0</v>
      </c>
      <c r="N298" s="35">
        <f t="shared" si="35"/>
        <v>30000</v>
      </c>
      <c r="O298" s="35">
        <f t="shared" si="36"/>
        <v>1.2328767123287672</v>
      </c>
      <c r="P298" s="35">
        <f t="shared" si="37"/>
        <v>2.4657534246575343</v>
      </c>
    </row>
    <row r="299" spans="12:16" ht="15" hidden="1" customHeight="1">
      <c r="L299" s="43">
        <f t="shared" si="33"/>
        <v>44800</v>
      </c>
      <c r="M299" s="35">
        <f t="shared" si="34"/>
        <v>0</v>
      </c>
      <c r="N299" s="35">
        <f t="shared" si="35"/>
        <v>30000</v>
      </c>
      <c r="O299" s="35">
        <f t="shared" si="36"/>
        <v>1.2328767123287672</v>
      </c>
      <c r="P299" s="35">
        <f t="shared" si="37"/>
        <v>2.4657534246575343</v>
      </c>
    </row>
    <row r="300" spans="12:16" ht="15" hidden="1" customHeight="1">
      <c r="L300" s="43">
        <f t="shared" si="33"/>
        <v>44801</v>
      </c>
      <c r="M300" s="35">
        <f t="shared" si="34"/>
        <v>0</v>
      </c>
      <c r="N300" s="35">
        <f t="shared" si="35"/>
        <v>30000</v>
      </c>
      <c r="O300" s="35">
        <f t="shared" si="36"/>
        <v>1.2328767123287672</v>
      </c>
      <c r="P300" s="35">
        <f t="shared" si="37"/>
        <v>2.4657534246575343</v>
      </c>
    </row>
    <row r="301" spans="12:16" ht="15" hidden="1" customHeight="1">
      <c r="L301" s="43">
        <f t="shared" si="33"/>
        <v>44802</v>
      </c>
      <c r="M301" s="35">
        <f t="shared" si="34"/>
        <v>0</v>
      </c>
      <c r="N301" s="35">
        <f t="shared" si="35"/>
        <v>30000</v>
      </c>
      <c r="O301" s="35">
        <f t="shared" si="36"/>
        <v>1.2328767123287672</v>
      </c>
      <c r="P301" s="35">
        <f t="shared" si="37"/>
        <v>2.4657534246575343</v>
      </c>
    </row>
    <row r="302" spans="12:16" ht="15" hidden="1" customHeight="1">
      <c r="L302" s="43">
        <f t="shared" si="33"/>
        <v>44803</v>
      </c>
      <c r="M302" s="35">
        <f t="shared" si="34"/>
        <v>0</v>
      </c>
      <c r="N302" s="35">
        <f t="shared" si="35"/>
        <v>30000</v>
      </c>
      <c r="O302" s="35">
        <f t="shared" si="36"/>
        <v>1.2328767123287672</v>
      </c>
      <c r="P302" s="35">
        <f t="shared" si="37"/>
        <v>2.4657534246575343</v>
      </c>
    </row>
    <row r="303" spans="12:16" ht="15" hidden="1" customHeight="1">
      <c r="L303" s="43">
        <f t="shared" si="33"/>
        <v>44804</v>
      </c>
      <c r="M303" s="35">
        <f t="shared" si="34"/>
        <v>0</v>
      </c>
      <c r="N303" s="35">
        <f t="shared" si="35"/>
        <v>30000</v>
      </c>
      <c r="O303" s="35">
        <f t="shared" si="36"/>
        <v>1.2328767123287672</v>
      </c>
      <c r="P303" s="35">
        <f t="shared" si="37"/>
        <v>2.4657534246575343</v>
      </c>
    </row>
    <row r="304" spans="12:16" ht="15" hidden="1" customHeight="1">
      <c r="L304" s="43">
        <f t="shared" si="33"/>
        <v>44805</v>
      </c>
      <c r="M304" s="35">
        <f t="shared" si="34"/>
        <v>0</v>
      </c>
      <c r="N304" s="35">
        <f t="shared" si="35"/>
        <v>30000</v>
      </c>
      <c r="O304" s="35">
        <f t="shared" si="36"/>
        <v>1.2328767123287672</v>
      </c>
      <c r="P304" s="35">
        <f t="shared" si="37"/>
        <v>2.4657534246575343</v>
      </c>
    </row>
    <row r="305" spans="12:16" ht="15" hidden="1" customHeight="1">
      <c r="L305" s="43">
        <f t="shared" si="33"/>
        <v>44806</v>
      </c>
      <c r="M305" s="35">
        <f t="shared" si="34"/>
        <v>0</v>
      </c>
      <c r="N305" s="35">
        <f t="shared" si="35"/>
        <v>30000</v>
      </c>
      <c r="O305" s="35">
        <f t="shared" si="36"/>
        <v>1.2328767123287672</v>
      </c>
      <c r="P305" s="35">
        <f t="shared" si="37"/>
        <v>2.4657534246575343</v>
      </c>
    </row>
    <row r="306" spans="12:16" ht="15" hidden="1" customHeight="1">
      <c r="L306" s="43">
        <f t="shared" si="33"/>
        <v>44807</v>
      </c>
      <c r="M306" s="35">
        <f t="shared" si="34"/>
        <v>0</v>
      </c>
      <c r="N306" s="35">
        <f t="shared" si="35"/>
        <v>30000</v>
      </c>
      <c r="O306" s="35">
        <f t="shared" si="36"/>
        <v>1.2328767123287672</v>
      </c>
      <c r="P306" s="35">
        <f t="shared" si="37"/>
        <v>2.4657534246575343</v>
      </c>
    </row>
    <row r="307" spans="12:16" ht="15" hidden="1" customHeight="1">
      <c r="L307" s="43">
        <f t="shared" si="33"/>
        <v>44808</v>
      </c>
      <c r="M307" s="35">
        <f t="shared" si="34"/>
        <v>0</v>
      </c>
      <c r="N307" s="35">
        <f t="shared" si="35"/>
        <v>30000</v>
      </c>
      <c r="O307" s="35">
        <f t="shared" si="36"/>
        <v>1.2328767123287672</v>
      </c>
      <c r="P307" s="35">
        <f t="shared" si="37"/>
        <v>2.4657534246575343</v>
      </c>
    </row>
    <row r="308" spans="12:16" ht="15" hidden="1" customHeight="1">
      <c r="L308" s="43">
        <f t="shared" si="33"/>
        <v>44809</v>
      </c>
      <c r="M308" s="35">
        <f t="shared" si="34"/>
        <v>0</v>
      </c>
      <c r="N308" s="35">
        <f t="shared" si="35"/>
        <v>30000</v>
      </c>
      <c r="O308" s="35">
        <f t="shared" si="36"/>
        <v>1.2328767123287672</v>
      </c>
      <c r="P308" s="35">
        <f t="shared" si="37"/>
        <v>2.4657534246575343</v>
      </c>
    </row>
    <row r="309" spans="12:16" ht="15" hidden="1" customHeight="1">
      <c r="L309" s="43">
        <f t="shared" si="33"/>
        <v>44810</v>
      </c>
      <c r="M309" s="35">
        <f t="shared" si="34"/>
        <v>0</v>
      </c>
      <c r="N309" s="35">
        <f t="shared" si="35"/>
        <v>30000</v>
      </c>
      <c r="O309" s="35">
        <f t="shared" si="36"/>
        <v>1.2328767123287672</v>
      </c>
      <c r="P309" s="35">
        <f t="shared" si="37"/>
        <v>2.4657534246575343</v>
      </c>
    </row>
    <row r="310" spans="12:16" ht="15" hidden="1" customHeight="1">
      <c r="L310" s="43">
        <f t="shared" si="33"/>
        <v>44811</v>
      </c>
      <c r="M310" s="35">
        <f t="shared" si="34"/>
        <v>0</v>
      </c>
      <c r="N310" s="35">
        <f t="shared" si="35"/>
        <v>30000</v>
      </c>
      <c r="O310" s="35">
        <f t="shared" si="36"/>
        <v>1.2328767123287672</v>
      </c>
      <c r="P310" s="35">
        <f t="shared" si="37"/>
        <v>2.4657534246575343</v>
      </c>
    </row>
    <row r="311" spans="12:16" ht="15" hidden="1" customHeight="1">
      <c r="L311" s="43">
        <f t="shared" si="33"/>
        <v>44812</v>
      </c>
      <c r="M311" s="35">
        <f t="shared" si="34"/>
        <v>0</v>
      </c>
      <c r="N311" s="35">
        <f t="shared" si="35"/>
        <v>30000</v>
      </c>
      <c r="O311" s="35">
        <f t="shared" si="36"/>
        <v>1.2328767123287672</v>
      </c>
      <c r="P311" s="35">
        <f t="shared" si="37"/>
        <v>2.4657534246575343</v>
      </c>
    </row>
    <row r="312" spans="12:16" ht="15" hidden="1" customHeight="1">
      <c r="L312" s="43">
        <f t="shared" si="33"/>
        <v>44813</v>
      </c>
      <c r="M312" s="35">
        <f t="shared" si="34"/>
        <v>0</v>
      </c>
      <c r="N312" s="35">
        <f t="shared" si="35"/>
        <v>30000</v>
      </c>
      <c r="O312" s="35">
        <f t="shared" si="36"/>
        <v>1.2328767123287672</v>
      </c>
      <c r="P312" s="35">
        <f t="shared" si="37"/>
        <v>2.4657534246575343</v>
      </c>
    </row>
    <row r="313" spans="12:16" ht="15" hidden="1" customHeight="1">
      <c r="L313" s="43">
        <f t="shared" si="33"/>
        <v>44814</v>
      </c>
      <c r="M313" s="35">
        <f t="shared" si="34"/>
        <v>0</v>
      </c>
      <c r="N313" s="35">
        <f t="shared" si="35"/>
        <v>30000</v>
      </c>
      <c r="O313" s="35">
        <f t="shared" si="36"/>
        <v>1.2328767123287672</v>
      </c>
      <c r="P313" s="35">
        <f t="shared" si="37"/>
        <v>2.4657534246575343</v>
      </c>
    </row>
    <row r="314" spans="12:16" ht="15" hidden="1" customHeight="1">
      <c r="L314" s="43">
        <f t="shared" si="33"/>
        <v>44815</v>
      </c>
      <c r="M314" s="35">
        <f t="shared" si="34"/>
        <v>0</v>
      </c>
      <c r="N314" s="35">
        <f t="shared" si="35"/>
        <v>30000</v>
      </c>
      <c r="O314" s="35">
        <f t="shared" si="36"/>
        <v>1.2328767123287672</v>
      </c>
      <c r="P314" s="35">
        <f t="shared" si="37"/>
        <v>2.4657534246575343</v>
      </c>
    </row>
    <row r="315" spans="12:16" ht="15" hidden="1" customHeight="1">
      <c r="L315" s="43">
        <f t="shared" si="33"/>
        <v>44816</v>
      </c>
      <c r="M315" s="35">
        <f t="shared" si="34"/>
        <v>0</v>
      </c>
      <c r="N315" s="35">
        <f t="shared" si="35"/>
        <v>30000</v>
      </c>
      <c r="O315" s="35">
        <f t="shared" si="36"/>
        <v>1.2328767123287672</v>
      </c>
      <c r="P315" s="35">
        <f t="shared" si="37"/>
        <v>2.4657534246575343</v>
      </c>
    </row>
    <row r="316" spans="12:16" ht="15" hidden="1" customHeight="1">
      <c r="L316" s="43">
        <f t="shared" si="33"/>
        <v>44817</v>
      </c>
      <c r="M316" s="35">
        <f t="shared" si="34"/>
        <v>0</v>
      </c>
      <c r="N316" s="35">
        <f t="shared" si="35"/>
        <v>30000</v>
      </c>
      <c r="O316" s="35">
        <f t="shared" si="36"/>
        <v>1.2328767123287672</v>
      </c>
      <c r="P316" s="35">
        <f t="shared" si="37"/>
        <v>2.4657534246575343</v>
      </c>
    </row>
    <row r="317" spans="12:16" ht="15" hidden="1" customHeight="1">
      <c r="L317" s="43">
        <f t="shared" si="33"/>
        <v>44818</v>
      </c>
      <c r="M317" s="35">
        <f t="shared" si="34"/>
        <v>0</v>
      </c>
      <c r="N317" s="35">
        <f t="shared" si="35"/>
        <v>30000</v>
      </c>
      <c r="O317" s="35">
        <f t="shared" si="36"/>
        <v>1.2328767123287672</v>
      </c>
      <c r="P317" s="35">
        <f t="shared" si="37"/>
        <v>2.4657534246575343</v>
      </c>
    </row>
    <row r="318" spans="12:16" ht="15" hidden="1" customHeight="1">
      <c r="L318" s="43">
        <f t="shared" si="33"/>
        <v>44819</v>
      </c>
      <c r="M318" s="35">
        <f t="shared" si="34"/>
        <v>0</v>
      </c>
      <c r="N318" s="35">
        <f t="shared" si="35"/>
        <v>30000</v>
      </c>
      <c r="O318" s="35">
        <f t="shared" si="36"/>
        <v>1.2328767123287672</v>
      </c>
      <c r="P318" s="35">
        <f t="shared" si="37"/>
        <v>2.4657534246575343</v>
      </c>
    </row>
    <row r="319" spans="12:16" ht="15" hidden="1" customHeight="1">
      <c r="L319" s="43">
        <f t="shared" si="33"/>
        <v>44820</v>
      </c>
      <c r="M319" s="35">
        <f t="shared" si="34"/>
        <v>0</v>
      </c>
      <c r="N319" s="35">
        <f t="shared" si="35"/>
        <v>30000</v>
      </c>
      <c r="O319" s="35">
        <f t="shared" si="36"/>
        <v>1.2328767123287672</v>
      </c>
      <c r="P319" s="35">
        <f t="shared" si="37"/>
        <v>2.4657534246575343</v>
      </c>
    </row>
    <row r="320" spans="12:16" ht="15" hidden="1" customHeight="1">
      <c r="L320" s="43">
        <f t="shared" si="33"/>
        <v>44821</v>
      </c>
      <c r="M320" s="35">
        <f t="shared" si="34"/>
        <v>0</v>
      </c>
      <c r="N320" s="35">
        <f t="shared" si="35"/>
        <v>30000</v>
      </c>
      <c r="O320" s="35">
        <f t="shared" si="36"/>
        <v>1.2328767123287672</v>
      </c>
      <c r="P320" s="35">
        <f t="shared" si="37"/>
        <v>2.4657534246575343</v>
      </c>
    </row>
    <row r="321" spans="12:16" ht="15" hidden="1" customHeight="1">
      <c r="L321" s="43">
        <f t="shared" si="33"/>
        <v>44822</v>
      </c>
      <c r="M321" s="35">
        <f t="shared" si="34"/>
        <v>0</v>
      </c>
      <c r="N321" s="35">
        <f t="shared" si="35"/>
        <v>30000</v>
      </c>
      <c r="O321" s="35">
        <f t="shared" si="36"/>
        <v>1.2328767123287672</v>
      </c>
      <c r="P321" s="35">
        <f t="shared" si="37"/>
        <v>2.4657534246575343</v>
      </c>
    </row>
    <row r="322" spans="12:16" ht="15" hidden="1" customHeight="1">
      <c r="L322" s="43">
        <f t="shared" si="33"/>
        <v>44823</v>
      </c>
      <c r="M322" s="35">
        <f t="shared" si="34"/>
        <v>0</v>
      </c>
      <c r="N322" s="35">
        <f t="shared" si="35"/>
        <v>30000</v>
      </c>
      <c r="O322" s="35">
        <f t="shared" si="36"/>
        <v>1.2328767123287672</v>
      </c>
      <c r="P322" s="35">
        <f t="shared" si="37"/>
        <v>2.4657534246575343</v>
      </c>
    </row>
    <row r="323" spans="12:16" ht="15" hidden="1" customHeight="1">
      <c r="L323" s="43">
        <f t="shared" si="33"/>
        <v>44824</v>
      </c>
      <c r="M323" s="35">
        <f t="shared" si="34"/>
        <v>0</v>
      </c>
      <c r="N323" s="35">
        <f t="shared" si="35"/>
        <v>30000</v>
      </c>
      <c r="O323" s="35">
        <f t="shared" si="36"/>
        <v>1.2328767123287672</v>
      </c>
      <c r="P323" s="35">
        <f t="shared" si="37"/>
        <v>2.4657534246575343</v>
      </c>
    </row>
    <row r="324" spans="12:16" ht="15" hidden="1" customHeight="1">
      <c r="L324" s="43">
        <f t="shared" si="33"/>
        <v>44825</v>
      </c>
      <c r="M324" s="35">
        <f t="shared" si="34"/>
        <v>0</v>
      </c>
      <c r="N324" s="35">
        <f t="shared" si="35"/>
        <v>30000</v>
      </c>
      <c r="O324" s="35">
        <f t="shared" si="36"/>
        <v>1.2328767123287672</v>
      </c>
      <c r="P324" s="35">
        <f t="shared" si="37"/>
        <v>2.4657534246575343</v>
      </c>
    </row>
    <row r="325" spans="12:16" ht="15" hidden="1" customHeight="1">
      <c r="L325" s="43">
        <f t="shared" si="33"/>
        <v>44826</v>
      </c>
      <c r="M325" s="35">
        <f t="shared" si="34"/>
        <v>0</v>
      </c>
      <c r="N325" s="35">
        <f t="shared" si="35"/>
        <v>30000</v>
      </c>
      <c r="O325" s="35">
        <f t="shared" si="36"/>
        <v>1.2328767123287672</v>
      </c>
      <c r="P325" s="35">
        <f t="shared" si="37"/>
        <v>2.4657534246575343</v>
      </c>
    </row>
    <row r="326" spans="12:16" ht="15" hidden="1" customHeight="1">
      <c r="L326" s="43">
        <f t="shared" si="33"/>
        <v>44827</v>
      </c>
      <c r="M326" s="35">
        <f t="shared" si="34"/>
        <v>0</v>
      </c>
      <c r="N326" s="35">
        <f t="shared" si="35"/>
        <v>30000</v>
      </c>
      <c r="O326" s="35">
        <f t="shared" si="36"/>
        <v>1.2328767123287672</v>
      </c>
      <c r="P326" s="35">
        <f t="shared" si="37"/>
        <v>2.4657534246575343</v>
      </c>
    </row>
    <row r="327" spans="12:16" ht="15" hidden="1" customHeight="1">
      <c r="L327" s="43">
        <f t="shared" si="33"/>
        <v>44828</v>
      </c>
      <c r="M327" s="35">
        <f t="shared" si="34"/>
        <v>0</v>
      </c>
      <c r="N327" s="35">
        <f t="shared" si="35"/>
        <v>30000</v>
      </c>
      <c r="O327" s="35">
        <f t="shared" si="36"/>
        <v>1.2328767123287672</v>
      </c>
      <c r="P327" s="35">
        <f t="shared" si="37"/>
        <v>2.4657534246575343</v>
      </c>
    </row>
    <row r="328" spans="12:16" ht="15" hidden="1" customHeight="1">
      <c r="L328" s="43">
        <f t="shared" si="33"/>
        <v>44829</v>
      </c>
      <c r="M328" s="35">
        <f t="shared" si="34"/>
        <v>0</v>
      </c>
      <c r="N328" s="35">
        <f t="shared" si="35"/>
        <v>30000</v>
      </c>
      <c r="O328" s="35">
        <f t="shared" si="36"/>
        <v>1.2328767123287672</v>
      </c>
      <c r="P328" s="35">
        <f t="shared" si="37"/>
        <v>2.4657534246575343</v>
      </c>
    </row>
    <row r="329" spans="12:16" ht="15" hidden="1" customHeight="1">
      <c r="L329" s="43">
        <f t="shared" si="33"/>
        <v>44830</v>
      </c>
      <c r="M329" s="35">
        <f t="shared" si="34"/>
        <v>0</v>
      </c>
      <c r="N329" s="35">
        <f t="shared" si="35"/>
        <v>30000</v>
      </c>
      <c r="O329" s="35">
        <f t="shared" si="36"/>
        <v>1.2328767123287672</v>
      </c>
      <c r="P329" s="35">
        <f t="shared" si="37"/>
        <v>2.4657534246575343</v>
      </c>
    </row>
    <row r="330" spans="12:16" ht="15" hidden="1" customHeight="1">
      <c r="L330" s="43">
        <f t="shared" si="33"/>
        <v>44831</v>
      </c>
      <c r="M330" s="35">
        <f t="shared" si="34"/>
        <v>0</v>
      </c>
      <c r="N330" s="35">
        <f t="shared" si="35"/>
        <v>30000</v>
      </c>
      <c r="O330" s="35">
        <f t="shared" si="36"/>
        <v>1.2328767123287672</v>
      </c>
      <c r="P330" s="35">
        <f t="shared" si="37"/>
        <v>2.4657534246575343</v>
      </c>
    </row>
    <row r="331" spans="12:16" ht="15" hidden="1" customHeight="1">
      <c r="L331" s="43">
        <f t="shared" si="33"/>
        <v>44832</v>
      </c>
      <c r="M331" s="35">
        <f t="shared" si="34"/>
        <v>0</v>
      </c>
      <c r="N331" s="35">
        <f t="shared" si="35"/>
        <v>30000</v>
      </c>
      <c r="O331" s="35">
        <f t="shared" si="36"/>
        <v>1.2328767123287672</v>
      </c>
      <c r="P331" s="35">
        <f t="shared" si="37"/>
        <v>2.4657534246575343</v>
      </c>
    </row>
    <row r="332" spans="12:16" ht="15" hidden="1" customHeight="1">
      <c r="L332" s="43">
        <f t="shared" si="33"/>
        <v>44833</v>
      </c>
      <c r="M332" s="35">
        <f t="shared" si="34"/>
        <v>0</v>
      </c>
      <c r="N332" s="35">
        <f t="shared" si="35"/>
        <v>30000</v>
      </c>
      <c r="O332" s="35">
        <f t="shared" si="36"/>
        <v>1.2328767123287672</v>
      </c>
      <c r="P332" s="35">
        <f t="shared" si="37"/>
        <v>2.4657534246575343</v>
      </c>
    </row>
    <row r="333" spans="12:16" ht="15" hidden="1" customHeight="1">
      <c r="L333" s="43">
        <f t="shared" si="33"/>
        <v>44834</v>
      </c>
      <c r="M333" s="35">
        <f t="shared" si="34"/>
        <v>0</v>
      </c>
      <c r="N333" s="35">
        <f t="shared" si="35"/>
        <v>30000</v>
      </c>
      <c r="O333" s="35">
        <f t="shared" si="36"/>
        <v>1.2328767123287672</v>
      </c>
      <c r="P333" s="35">
        <f t="shared" si="37"/>
        <v>2.4657534246575343</v>
      </c>
    </row>
    <row r="334" spans="12:16" ht="15" hidden="1" customHeight="1">
      <c r="L334" s="43">
        <f t="shared" si="33"/>
        <v>44835</v>
      </c>
      <c r="M334" s="35">
        <f t="shared" si="34"/>
        <v>0</v>
      </c>
      <c r="N334" s="35">
        <f t="shared" si="35"/>
        <v>30000</v>
      </c>
      <c r="O334" s="35">
        <f t="shared" si="36"/>
        <v>1.2328767123287672</v>
      </c>
      <c r="P334" s="35">
        <f t="shared" si="37"/>
        <v>2.4657534246575343</v>
      </c>
    </row>
    <row r="335" spans="12:16" ht="15" hidden="1" customHeight="1">
      <c r="L335" s="43">
        <f t="shared" si="33"/>
        <v>44836</v>
      </c>
      <c r="M335" s="35">
        <f t="shared" si="34"/>
        <v>0</v>
      </c>
      <c r="N335" s="35">
        <f t="shared" si="35"/>
        <v>30000</v>
      </c>
      <c r="O335" s="35">
        <f t="shared" si="36"/>
        <v>1.2328767123287672</v>
      </c>
      <c r="P335" s="35">
        <f t="shared" si="37"/>
        <v>2.4657534246575343</v>
      </c>
    </row>
    <row r="336" spans="12:16" ht="15" hidden="1" customHeight="1">
      <c r="L336" s="43">
        <f t="shared" si="33"/>
        <v>44837</v>
      </c>
      <c r="M336" s="35">
        <f t="shared" si="34"/>
        <v>0</v>
      </c>
      <c r="N336" s="35">
        <f t="shared" si="35"/>
        <v>30000</v>
      </c>
      <c r="O336" s="35">
        <f t="shared" si="36"/>
        <v>1.2328767123287672</v>
      </c>
      <c r="P336" s="35">
        <f t="shared" si="37"/>
        <v>2.4657534246575343</v>
      </c>
    </row>
    <row r="337" spans="12:16" ht="15" hidden="1" customHeight="1">
      <c r="L337" s="43">
        <f t="shared" si="33"/>
        <v>44838</v>
      </c>
      <c r="M337" s="35">
        <f t="shared" si="34"/>
        <v>0</v>
      </c>
      <c r="N337" s="35">
        <f t="shared" si="35"/>
        <v>30000</v>
      </c>
      <c r="O337" s="35">
        <f t="shared" si="36"/>
        <v>1.2328767123287672</v>
      </c>
      <c r="P337" s="35">
        <f t="shared" si="37"/>
        <v>2.4657534246575343</v>
      </c>
    </row>
    <row r="338" spans="12:16" ht="15" hidden="1" customHeight="1">
      <c r="L338" s="43">
        <f t="shared" si="33"/>
        <v>44839</v>
      </c>
      <c r="M338" s="35">
        <f t="shared" si="34"/>
        <v>0</v>
      </c>
      <c r="N338" s="35">
        <f t="shared" si="35"/>
        <v>30000</v>
      </c>
      <c r="O338" s="35">
        <f t="shared" si="36"/>
        <v>1.2328767123287672</v>
      </c>
      <c r="P338" s="35">
        <f t="shared" si="37"/>
        <v>2.4657534246575343</v>
      </c>
    </row>
    <row r="339" spans="12:16" ht="15" hidden="1" customHeight="1">
      <c r="L339" s="43">
        <f t="shared" si="33"/>
        <v>44840</v>
      </c>
      <c r="M339" s="35">
        <f t="shared" si="34"/>
        <v>0</v>
      </c>
      <c r="N339" s="35">
        <f t="shared" si="35"/>
        <v>30000</v>
      </c>
      <c r="O339" s="35">
        <f t="shared" si="36"/>
        <v>1.2328767123287672</v>
      </c>
      <c r="P339" s="35">
        <f t="shared" si="37"/>
        <v>2.4657534246575343</v>
      </c>
    </row>
    <row r="340" spans="12:16" ht="15" hidden="1" customHeight="1">
      <c r="L340" s="43">
        <f t="shared" si="33"/>
        <v>44841</v>
      </c>
      <c r="M340" s="35">
        <f t="shared" si="34"/>
        <v>0</v>
      </c>
      <c r="N340" s="35">
        <f t="shared" si="35"/>
        <v>30000</v>
      </c>
      <c r="O340" s="35">
        <f t="shared" si="36"/>
        <v>1.2328767123287672</v>
      </c>
      <c r="P340" s="35">
        <f t="shared" si="37"/>
        <v>2.4657534246575343</v>
      </c>
    </row>
    <row r="341" spans="12:16" ht="15" hidden="1" customHeight="1">
      <c r="L341" s="43">
        <f t="shared" si="33"/>
        <v>44842</v>
      </c>
      <c r="M341" s="35">
        <f t="shared" si="34"/>
        <v>0</v>
      </c>
      <c r="N341" s="35">
        <f t="shared" si="35"/>
        <v>30000</v>
      </c>
      <c r="O341" s="35">
        <f t="shared" si="36"/>
        <v>1.2328767123287672</v>
      </c>
      <c r="P341" s="35">
        <f t="shared" si="37"/>
        <v>2.4657534246575343</v>
      </c>
    </row>
    <row r="342" spans="12:16" ht="15" hidden="1" customHeight="1">
      <c r="L342" s="43">
        <f t="shared" si="33"/>
        <v>44843</v>
      </c>
      <c r="M342" s="35">
        <f t="shared" si="34"/>
        <v>0</v>
      </c>
      <c r="N342" s="35">
        <f t="shared" si="35"/>
        <v>30000</v>
      </c>
      <c r="O342" s="35">
        <f t="shared" si="36"/>
        <v>1.2328767123287672</v>
      </c>
      <c r="P342" s="35">
        <f t="shared" si="37"/>
        <v>2.4657534246575343</v>
      </c>
    </row>
    <row r="343" spans="12:16" ht="15" hidden="1" customHeight="1">
      <c r="L343" s="43">
        <f t="shared" si="33"/>
        <v>44844</v>
      </c>
      <c r="M343" s="35">
        <f t="shared" si="34"/>
        <v>0</v>
      </c>
      <c r="N343" s="35">
        <f t="shared" si="35"/>
        <v>30000</v>
      </c>
      <c r="O343" s="35">
        <f t="shared" si="36"/>
        <v>1.2328767123287672</v>
      </c>
      <c r="P343" s="35">
        <f t="shared" si="37"/>
        <v>2.4657534246575343</v>
      </c>
    </row>
    <row r="344" spans="12:16" ht="15" hidden="1" customHeight="1">
      <c r="L344" s="43">
        <f t="shared" si="33"/>
        <v>44845</v>
      </c>
      <c r="M344" s="35">
        <f t="shared" si="34"/>
        <v>0</v>
      </c>
      <c r="N344" s="35">
        <f t="shared" si="35"/>
        <v>30000</v>
      </c>
      <c r="O344" s="35">
        <f t="shared" si="36"/>
        <v>1.2328767123287672</v>
      </c>
      <c r="P344" s="35">
        <f t="shared" si="37"/>
        <v>2.4657534246575343</v>
      </c>
    </row>
    <row r="345" spans="12:16" ht="15" hidden="1" customHeight="1">
      <c r="L345" s="43">
        <f t="shared" si="33"/>
        <v>44846</v>
      </c>
      <c r="M345" s="35">
        <f t="shared" si="34"/>
        <v>0</v>
      </c>
      <c r="N345" s="35">
        <f t="shared" si="35"/>
        <v>30000</v>
      </c>
      <c r="O345" s="35">
        <f t="shared" si="36"/>
        <v>1.2328767123287672</v>
      </c>
      <c r="P345" s="35">
        <f t="shared" si="37"/>
        <v>2.4657534246575343</v>
      </c>
    </row>
    <row r="346" spans="12:16" ht="15" hidden="1" customHeight="1">
      <c r="L346" s="43">
        <f t="shared" si="33"/>
        <v>44847</v>
      </c>
      <c r="M346" s="35">
        <f t="shared" si="34"/>
        <v>0</v>
      </c>
      <c r="N346" s="35">
        <f t="shared" si="35"/>
        <v>30000</v>
      </c>
      <c r="O346" s="35">
        <f t="shared" si="36"/>
        <v>1.2328767123287672</v>
      </c>
      <c r="P346" s="35">
        <f t="shared" si="37"/>
        <v>2.4657534246575343</v>
      </c>
    </row>
    <row r="347" spans="12:16" ht="15" hidden="1" customHeight="1">
      <c r="L347" s="43">
        <f t="shared" si="33"/>
        <v>44848</v>
      </c>
      <c r="M347" s="35">
        <f t="shared" si="34"/>
        <v>0</v>
      </c>
      <c r="N347" s="35">
        <f t="shared" si="35"/>
        <v>30000</v>
      </c>
      <c r="O347" s="35">
        <f t="shared" si="36"/>
        <v>1.2328767123287672</v>
      </c>
      <c r="P347" s="35">
        <f t="shared" si="37"/>
        <v>2.4657534246575343</v>
      </c>
    </row>
    <row r="348" spans="12:16" ht="15" hidden="1" customHeight="1">
      <c r="L348" s="43">
        <f t="shared" si="33"/>
        <v>44849</v>
      </c>
      <c r="M348" s="35">
        <f t="shared" si="34"/>
        <v>0</v>
      </c>
      <c r="N348" s="35">
        <f t="shared" si="35"/>
        <v>30000</v>
      </c>
      <c r="O348" s="35">
        <f t="shared" si="36"/>
        <v>1.2328767123287672</v>
      </c>
      <c r="P348" s="35">
        <f t="shared" si="37"/>
        <v>2.4657534246575343</v>
      </c>
    </row>
    <row r="349" spans="12:16" ht="15" hidden="1" customHeight="1">
      <c r="L349" s="43">
        <f t="shared" si="33"/>
        <v>44850</v>
      </c>
      <c r="M349" s="35">
        <f t="shared" si="34"/>
        <v>0</v>
      </c>
      <c r="N349" s="35">
        <f t="shared" si="35"/>
        <v>30000</v>
      </c>
      <c r="O349" s="35">
        <f t="shared" si="36"/>
        <v>1.2328767123287672</v>
      </c>
      <c r="P349" s="35">
        <f t="shared" si="37"/>
        <v>2.4657534246575343</v>
      </c>
    </row>
    <row r="350" spans="12:16" ht="15" hidden="1" customHeight="1">
      <c r="L350" s="43">
        <f t="shared" si="33"/>
        <v>44851</v>
      </c>
      <c r="M350" s="35">
        <f t="shared" si="34"/>
        <v>0</v>
      </c>
      <c r="N350" s="35">
        <f t="shared" si="35"/>
        <v>30000</v>
      </c>
      <c r="O350" s="35">
        <f t="shared" si="36"/>
        <v>1.2328767123287672</v>
      </c>
      <c r="P350" s="35">
        <f t="shared" si="37"/>
        <v>2.4657534246575343</v>
      </c>
    </row>
    <row r="351" spans="12:16" ht="15" hidden="1" customHeight="1">
      <c r="L351" s="43">
        <f t="shared" ref="L351:L414" si="38">IFERROR(IF(MAX(L350+1,Дата_получения_Займа+1)&gt;Дата_погашения_Займа,"-",MAX(L350+1,Дата_получения_Займа+1)),"-")</f>
        <v>44852</v>
      </c>
      <c r="M351" s="35">
        <f t="shared" ref="M351:M414" si="39">IFERROR(VLOOKUP(L351,$B$31:$E$59,4,FALSE),0)</f>
        <v>0</v>
      </c>
      <c r="N351" s="35">
        <f t="shared" ref="N351:N414" si="40">IF(ISNUMBER(N350),N350-M351,$E$20)</f>
        <v>30000</v>
      </c>
      <c r="O351" s="35">
        <f t="shared" ref="O351:O414" si="41">IFERROR(IF(ISNUMBER(N350),N350,$E$20)*IF(L351&gt;=$J$20,$E$25,$E$24)/IF(MOD(YEAR(L351),4),365,366)*IF(ISBLANK(L350),L351-$E$22,L351-L350),0)</f>
        <v>1.2328767123287672</v>
      </c>
      <c r="P351" s="35">
        <f t="shared" ref="P351:P414" si="42">IFERROR(IF(ISNUMBER(N350),N350,$E$20)*3%/IF(MOD(YEAR(L351),4),365,366)*IF(ISBLANK(L350),(L351-$E$22),L351-L350),0)</f>
        <v>2.4657534246575343</v>
      </c>
    </row>
    <row r="352" spans="12:16" ht="15" hidden="1" customHeight="1">
      <c r="L352" s="43">
        <f t="shared" si="38"/>
        <v>44853</v>
      </c>
      <c r="M352" s="35">
        <f t="shared" si="39"/>
        <v>0</v>
      </c>
      <c r="N352" s="35">
        <f t="shared" si="40"/>
        <v>30000</v>
      </c>
      <c r="O352" s="35">
        <f t="shared" si="41"/>
        <v>1.2328767123287672</v>
      </c>
      <c r="P352" s="35">
        <f t="shared" si="42"/>
        <v>2.4657534246575343</v>
      </c>
    </row>
    <row r="353" spans="12:16" ht="15" hidden="1" customHeight="1">
      <c r="L353" s="43">
        <f t="shared" si="38"/>
        <v>44854</v>
      </c>
      <c r="M353" s="35">
        <f t="shared" si="39"/>
        <v>0</v>
      </c>
      <c r="N353" s="35">
        <f t="shared" si="40"/>
        <v>30000</v>
      </c>
      <c r="O353" s="35">
        <f t="shared" si="41"/>
        <v>1.2328767123287672</v>
      </c>
      <c r="P353" s="35">
        <f t="shared" si="42"/>
        <v>2.4657534246575343</v>
      </c>
    </row>
    <row r="354" spans="12:16" ht="15" hidden="1" customHeight="1">
      <c r="L354" s="43">
        <f t="shared" si="38"/>
        <v>44855</v>
      </c>
      <c r="M354" s="35">
        <f t="shared" si="39"/>
        <v>0</v>
      </c>
      <c r="N354" s="35">
        <f t="shared" si="40"/>
        <v>30000</v>
      </c>
      <c r="O354" s="35">
        <f t="shared" si="41"/>
        <v>1.2328767123287672</v>
      </c>
      <c r="P354" s="35">
        <f t="shared" si="42"/>
        <v>2.4657534246575343</v>
      </c>
    </row>
    <row r="355" spans="12:16" ht="15" hidden="1" customHeight="1">
      <c r="L355" s="43">
        <f t="shared" si="38"/>
        <v>44856</v>
      </c>
      <c r="M355" s="35">
        <f t="shared" si="39"/>
        <v>0</v>
      </c>
      <c r="N355" s="35">
        <f t="shared" si="40"/>
        <v>30000</v>
      </c>
      <c r="O355" s="35">
        <f t="shared" si="41"/>
        <v>1.2328767123287672</v>
      </c>
      <c r="P355" s="35">
        <f t="shared" si="42"/>
        <v>2.4657534246575343</v>
      </c>
    </row>
    <row r="356" spans="12:16" ht="15" hidden="1" customHeight="1">
      <c r="L356" s="43">
        <f t="shared" si="38"/>
        <v>44857</v>
      </c>
      <c r="M356" s="35">
        <f t="shared" si="39"/>
        <v>0</v>
      </c>
      <c r="N356" s="35">
        <f t="shared" si="40"/>
        <v>30000</v>
      </c>
      <c r="O356" s="35">
        <f t="shared" si="41"/>
        <v>1.2328767123287672</v>
      </c>
      <c r="P356" s="35">
        <f t="shared" si="42"/>
        <v>2.4657534246575343</v>
      </c>
    </row>
    <row r="357" spans="12:16" ht="15" hidden="1" customHeight="1">
      <c r="L357" s="43">
        <f t="shared" si="38"/>
        <v>44858</v>
      </c>
      <c r="M357" s="35">
        <f t="shared" si="39"/>
        <v>0</v>
      </c>
      <c r="N357" s="35">
        <f t="shared" si="40"/>
        <v>30000</v>
      </c>
      <c r="O357" s="35">
        <f t="shared" si="41"/>
        <v>1.2328767123287672</v>
      </c>
      <c r="P357" s="35">
        <f t="shared" si="42"/>
        <v>2.4657534246575343</v>
      </c>
    </row>
    <row r="358" spans="12:16" ht="15" hidden="1" customHeight="1">
      <c r="L358" s="43">
        <f t="shared" si="38"/>
        <v>44859</v>
      </c>
      <c r="M358" s="35">
        <f t="shared" si="39"/>
        <v>0</v>
      </c>
      <c r="N358" s="35">
        <f t="shared" si="40"/>
        <v>30000</v>
      </c>
      <c r="O358" s="35">
        <f t="shared" si="41"/>
        <v>1.2328767123287672</v>
      </c>
      <c r="P358" s="35">
        <f t="shared" si="42"/>
        <v>2.4657534246575343</v>
      </c>
    </row>
    <row r="359" spans="12:16" ht="15" hidden="1" customHeight="1">
      <c r="L359" s="43">
        <f t="shared" si="38"/>
        <v>44860</v>
      </c>
      <c r="M359" s="35">
        <f t="shared" si="39"/>
        <v>0</v>
      </c>
      <c r="N359" s="35">
        <f t="shared" si="40"/>
        <v>30000</v>
      </c>
      <c r="O359" s="35">
        <f t="shared" si="41"/>
        <v>1.2328767123287672</v>
      </c>
      <c r="P359" s="35">
        <f t="shared" si="42"/>
        <v>2.4657534246575343</v>
      </c>
    </row>
    <row r="360" spans="12:16" ht="15" hidden="1" customHeight="1">
      <c r="L360" s="43">
        <f t="shared" si="38"/>
        <v>44861</v>
      </c>
      <c r="M360" s="35">
        <f t="shared" si="39"/>
        <v>0</v>
      </c>
      <c r="N360" s="35">
        <f t="shared" si="40"/>
        <v>30000</v>
      </c>
      <c r="O360" s="35">
        <f t="shared" si="41"/>
        <v>1.2328767123287672</v>
      </c>
      <c r="P360" s="35">
        <f t="shared" si="42"/>
        <v>2.4657534246575343</v>
      </c>
    </row>
    <row r="361" spans="12:16" ht="15" hidden="1" customHeight="1">
      <c r="L361" s="43">
        <f t="shared" si="38"/>
        <v>44862</v>
      </c>
      <c r="M361" s="35">
        <f t="shared" si="39"/>
        <v>0</v>
      </c>
      <c r="N361" s="35">
        <f t="shared" si="40"/>
        <v>30000</v>
      </c>
      <c r="O361" s="35">
        <f t="shared" si="41"/>
        <v>1.2328767123287672</v>
      </c>
      <c r="P361" s="35">
        <f t="shared" si="42"/>
        <v>2.4657534246575343</v>
      </c>
    </row>
    <row r="362" spans="12:16" ht="15" hidden="1" customHeight="1">
      <c r="L362" s="43">
        <f t="shared" si="38"/>
        <v>44863</v>
      </c>
      <c r="M362" s="35">
        <f t="shared" si="39"/>
        <v>0</v>
      </c>
      <c r="N362" s="35">
        <f t="shared" si="40"/>
        <v>30000</v>
      </c>
      <c r="O362" s="35">
        <f t="shared" si="41"/>
        <v>1.2328767123287672</v>
      </c>
      <c r="P362" s="35">
        <f t="shared" si="42"/>
        <v>2.4657534246575343</v>
      </c>
    </row>
    <row r="363" spans="12:16" ht="15" hidden="1" customHeight="1">
      <c r="L363" s="43">
        <f t="shared" si="38"/>
        <v>44864</v>
      </c>
      <c r="M363" s="35">
        <f t="shared" si="39"/>
        <v>0</v>
      </c>
      <c r="N363" s="35">
        <f t="shared" si="40"/>
        <v>30000</v>
      </c>
      <c r="O363" s="35">
        <f t="shared" si="41"/>
        <v>1.2328767123287672</v>
      </c>
      <c r="P363" s="35">
        <f t="shared" si="42"/>
        <v>2.4657534246575343</v>
      </c>
    </row>
    <row r="364" spans="12:16" ht="15" hidden="1" customHeight="1">
      <c r="L364" s="43">
        <f t="shared" si="38"/>
        <v>44865</v>
      </c>
      <c r="M364" s="35">
        <f t="shared" si="39"/>
        <v>0</v>
      </c>
      <c r="N364" s="35">
        <f t="shared" si="40"/>
        <v>30000</v>
      </c>
      <c r="O364" s="35">
        <f t="shared" si="41"/>
        <v>1.2328767123287672</v>
      </c>
      <c r="P364" s="35">
        <f t="shared" si="42"/>
        <v>2.4657534246575343</v>
      </c>
    </row>
    <row r="365" spans="12:16" ht="15" hidden="1" customHeight="1">
      <c r="L365" s="43">
        <f t="shared" si="38"/>
        <v>44866</v>
      </c>
      <c r="M365" s="35">
        <f t="shared" si="39"/>
        <v>0</v>
      </c>
      <c r="N365" s="35">
        <f t="shared" si="40"/>
        <v>30000</v>
      </c>
      <c r="O365" s="35">
        <f t="shared" si="41"/>
        <v>1.2328767123287672</v>
      </c>
      <c r="P365" s="35">
        <f t="shared" si="42"/>
        <v>2.4657534246575343</v>
      </c>
    </row>
    <row r="366" spans="12:16" ht="15" hidden="1" customHeight="1">
      <c r="L366" s="43">
        <f t="shared" si="38"/>
        <v>44867</v>
      </c>
      <c r="M366" s="35">
        <f t="shared" si="39"/>
        <v>0</v>
      </c>
      <c r="N366" s="35">
        <f t="shared" si="40"/>
        <v>30000</v>
      </c>
      <c r="O366" s="35">
        <f t="shared" si="41"/>
        <v>1.2328767123287672</v>
      </c>
      <c r="P366" s="35">
        <f t="shared" si="42"/>
        <v>2.4657534246575343</v>
      </c>
    </row>
    <row r="367" spans="12:16" ht="15" hidden="1" customHeight="1">
      <c r="L367" s="43">
        <f t="shared" si="38"/>
        <v>44868</v>
      </c>
      <c r="M367" s="35">
        <f t="shared" si="39"/>
        <v>0</v>
      </c>
      <c r="N367" s="35">
        <f t="shared" si="40"/>
        <v>30000</v>
      </c>
      <c r="O367" s="35">
        <f t="shared" si="41"/>
        <v>1.2328767123287672</v>
      </c>
      <c r="P367" s="35">
        <f t="shared" si="42"/>
        <v>2.4657534246575343</v>
      </c>
    </row>
    <row r="368" spans="12:16" ht="15" hidden="1" customHeight="1">
      <c r="L368" s="43">
        <f t="shared" si="38"/>
        <v>44869</v>
      </c>
      <c r="M368" s="35">
        <f t="shared" si="39"/>
        <v>0</v>
      </c>
      <c r="N368" s="35">
        <f t="shared" si="40"/>
        <v>30000</v>
      </c>
      <c r="O368" s="35">
        <f t="shared" si="41"/>
        <v>1.2328767123287672</v>
      </c>
      <c r="P368" s="35">
        <f t="shared" si="42"/>
        <v>2.4657534246575343</v>
      </c>
    </row>
    <row r="369" spans="12:16" ht="15" hidden="1" customHeight="1">
      <c r="L369" s="43">
        <f t="shared" si="38"/>
        <v>44870</v>
      </c>
      <c r="M369" s="35">
        <f t="shared" si="39"/>
        <v>0</v>
      </c>
      <c r="N369" s="35">
        <f t="shared" si="40"/>
        <v>30000</v>
      </c>
      <c r="O369" s="35">
        <f t="shared" si="41"/>
        <v>1.2328767123287672</v>
      </c>
      <c r="P369" s="35">
        <f t="shared" si="42"/>
        <v>2.4657534246575343</v>
      </c>
    </row>
    <row r="370" spans="12:16" ht="15" hidden="1" customHeight="1">
      <c r="L370" s="43">
        <f t="shared" si="38"/>
        <v>44871</v>
      </c>
      <c r="M370" s="35">
        <f t="shared" si="39"/>
        <v>0</v>
      </c>
      <c r="N370" s="35">
        <f t="shared" si="40"/>
        <v>30000</v>
      </c>
      <c r="O370" s="35">
        <f t="shared" si="41"/>
        <v>1.2328767123287672</v>
      </c>
      <c r="P370" s="35">
        <f t="shared" si="42"/>
        <v>2.4657534246575343</v>
      </c>
    </row>
    <row r="371" spans="12:16" ht="15" hidden="1" customHeight="1">
      <c r="L371" s="43">
        <f t="shared" si="38"/>
        <v>44872</v>
      </c>
      <c r="M371" s="35">
        <f t="shared" si="39"/>
        <v>0</v>
      </c>
      <c r="N371" s="35">
        <f t="shared" si="40"/>
        <v>30000</v>
      </c>
      <c r="O371" s="35">
        <f t="shared" si="41"/>
        <v>1.2328767123287672</v>
      </c>
      <c r="P371" s="35">
        <f t="shared" si="42"/>
        <v>2.4657534246575343</v>
      </c>
    </row>
    <row r="372" spans="12:16" ht="15" hidden="1" customHeight="1">
      <c r="L372" s="43">
        <f t="shared" si="38"/>
        <v>44873</v>
      </c>
      <c r="M372" s="35">
        <f t="shared" si="39"/>
        <v>0</v>
      </c>
      <c r="N372" s="35">
        <f t="shared" si="40"/>
        <v>30000</v>
      </c>
      <c r="O372" s="35">
        <f t="shared" si="41"/>
        <v>1.2328767123287672</v>
      </c>
      <c r="P372" s="35">
        <f t="shared" si="42"/>
        <v>2.4657534246575343</v>
      </c>
    </row>
    <row r="373" spans="12:16" ht="15" hidden="1" customHeight="1">
      <c r="L373" s="43">
        <f t="shared" si="38"/>
        <v>44874</v>
      </c>
      <c r="M373" s="35">
        <f t="shared" si="39"/>
        <v>0</v>
      </c>
      <c r="N373" s="35">
        <f t="shared" si="40"/>
        <v>30000</v>
      </c>
      <c r="O373" s="35">
        <f t="shared" si="41"/>
        <v>1.2328767123287672</v>
      </c>
      <c r="P373" s="35">
        <f t="shared" si="42"/>
        <v>2.4657534246575343</v>
      </c>
    </row>
    <row r="374" spans="12:16" ht="15" hidden="1" customHeight="1">
      <c r="L374" s="43">
        <f t="shared" si="38"/>
        <v>44875</v>
      </c>
      <c r="M374" s="35">
        <f t="shared" si="39"/>
        <v>0</v>
      </c>
      <c r="N374" s="35">
        <f t="shared" si="40"/>
        <v>30000</v>
      </c>
      <c r="O374" s="35">
        <f t="shared" si="41"/>
        <v>1.2328767123287672</v>
      </c>
      <c r="P374" s="35">
        <f t="shared" si="42"/>
        <v>2.4657534246575343</v>
      </c>
    </row>
    <row r="375" spans="12:16" ht="15" hidden="1" customHeight="1">
      <c r="L375" s="43">
        <f t="shared" si="38"/>
        <v>44876</v>
      </c>
      <c r="M375" s="35">
        <f t="shared" si="39"/>
        <v>0</v>
      </c>
      <c r="N375" s="35">
        <f t="shared" si="40"/>
        <v>30000</v>
      </c>
      <c r="O375" s="35">
        <f t="shared" si="41"/>
        <v>1.2328767123287672</v>
      </c>
      <c r="P375" s="35">
        <f t="shared" si="42"/>
        <v>2.4657534246575343</v>
      </c>
    </row>
    <row r="376" spans="12:16" ht="15" hidden="1" customHeight="1">
      <c r="L376" s="43">
        <f t="shared" si="38"/>
        <v>44877</v>
      </c>
      <c r="M376" s="35">
        <f t="shared" si="39"/>
        <v>0</v>
      </c>
      <c r="N376" s="35">
        <f t="shared" si="40"/>
        <v>30000</v>
      </c>
      <c r="O376" s="35">
        <f t="shared" si="41"/>
        <v>1.2328767123287672</v>
      </c>
      <c r="P376" s="35">
        <f t="shared" si="42"/>
        <v>2.4657534246575343</v>
      </c>
    </row>
    <row r="377" spans="12:16" ht="15" hidden="1" customHeight="1">
      <c r="L377" s="43">
        <f t="shared" si="38"/>
        <v>44878</v>
      </c>
      <c r="M377" s="35">
        <f t="shared" si="39"/>
        <v>0</v>
      </c>
      <c r="N377" s="35">
        <f t="shared" si="40"/>
        <v>30000</v>
      </c>
      <c r="O377" s="35">
        <f t="shared" si="41"/>
        <v>1.2328767123287672</v>
      </c>
      <c r="P377" s="35">
        <f t="shared" si="42"/>
        <v>2.4657534246575343</v>
      </c>
    </row>
    <row r="378" spans="12:16" ht="15" hidden="1" customHeight="1">
      <c r="L378" s="43">
        <f t="shared" si="38"/>
        <v>44879</v>
      </c>
      <c r="M378" s="35">
        <f t="shared" si="39"/>
        <v>0</v>
      </c>
      <c r="N378" s="35">
        <f t="shared" si="40"/>
        <v>30000</v>
      </c>
      <c r="O378" s="35">
        <f t="shared" si="41"/>
        <v>1.2328767123287672</v>
      </c>
      <c r="P378" s="35">
        <f t="shared" si="42"/>
        <v>2.4657534246575343</v>
      </c>
    </row>
    <row r="379" spans="12:16" ht="15" hidden="1" customHeight="1">
      <c r="L379" s="43">
        <f t="shared" si="38"/>
        <v>44880</v>
      </c>
      <c r="M379" s="35">
        <f t="shared" si="39"/>
        <v>0</v>
      </c>
      <c r="N379" s="35">
        <f t="shared" si="40"/>
        <v>30000</v>
      </c>
      <c r="O379" s="35">
        <f t="shared" si="41"/>
        <v>1.2328767123287672</v>
      </c>
      <c r="P379" s="35">
        <f t="shared" si="42"/>
        <v>2.4657534246575343</v>
      </c>
    </row>
    <row r="380" spans="12:16" ht="15" hidden="1" customHeight="1">
      <c r="L380" s="43">
        <f t="shared" si="38"/>
        <v>44881</v>
      </c>
      <c r="M380" s="35">
        <f t="shared" si="39"/>
        <v>0</v>
      </c>
      <c r="N380" s="35">
        <f t="shared" si="40"/>
        <v>30000</v>
      </c>
      <c r="O380" s="35">
        <f t="shared" si="41"/>
        <v>1.2328767123287672</v>
      </c>
      <c r="P380" s="35">
        <f t="shared" si="42"/>
        <v>2.4657534246575343</v>
      </c>
    </row>
    <row r="381" spans="12:16" ht="15" hidden="1" customHeight="1">
      <c r="L381" s="43">
        <f t="shared" si="38"/>
        <v>44882</v>
      </c>
      <c r="M381" s="35">
        <f t="shared" si="39"/>
        <v>0</v>
      </c>
      <c r="N381" s="35">
        <f t="shared" si="40"/>
        <v>30000</v>
      </c>
      <c r="O381" s="35">
        <f t="shared" si="41"/>
        <v>1.2328767123287672</v>
      </c>
      <c r="P381" s="35">
        <f t="shared" si="42"/>
        <v>2.4657534246575343</v>
      </c>
    </row>
    <row r="382" spans="12:16" ht="15" hidden="1" customHeight="1">
      <c r="L382" s="43">
        <f t="shared" si="38"/>
        <v>44883</v>
      </c>
      <c r="M382" s="35">
        <f t="shared" si="39"/>
        <v>0</v>
      </c>
      <c r="N382" s="35">
        <f t="shared" si="40"/>
        <v>30000</v>
      </c>
      <c r="O382" s="35">
        <f t="shared" si="41"/>
        <v>1.2328767123287672</v>
      </c>
      <c r="P382" s="35">
        <f t="shared" si="42"/>
        <v>2.4657534246575343</v>
      </c>
    </row>
    <row r="383" spans="12:16" ht="15" hidden="1" customHeight="1">
      <c r="L383" s="43">
        <f t="shared" si="38"/>
        <v>44884</v>
      </c>
      <c r="M383" s="35">
        <f t="shared" si="39"/>
        <v>0</v>
      </c>
      <c r="N383" s="35">
        <f t="shared" si="40"/>
        <v>30000</v>
      </c>
      <c r="O383" s="35">
        <f t="shared" si="41"/>
        <v>1.2328767123287672</v>
      </c>
      <c r="P383" s="35">
        <f t="shared" si="42"/>
        <v>2.4657534246575343</v>
      </c>
    </row>
    <row r="384" spans="12:16" ht="15" hidden="1" customHeight="1">
      <c r="L384" s="43">
        <f t="shared" si="38"/>
        <v>44885</v>
      </c>
      <c r="M384" s="35">
        <f t="shared" si="39"/>
        <v>0</v>
      </c>
      <c r="N384" s="35">
        <f t="shared" si="40"/>
        <v>30000</v>
      </c>
      <c r="O384" s="35">
        <f t="shared" si="41"/>
        <v>1.2328767123287672</v>
      </c>
      <c r="P384" s="35">
        <f t="shared" si="42"/>
        <v>2.4657534246575343</v>
      </c>
    </row>
    <row r="385" spans="12:16" ht="15" hidden="1" customHeight="1">
      <c r="L385" s="43">
        <f t="shared" si="38"/>
        <v>44886</v>
      </c>
      <c r="M385" s="35">
        <f t="shared" si="39"/>
        <v>0</v>
      </c>
      <c r="N385" s="35">
        <f t="shared" si="40"/>
        <v>30000</v>
      </c>
      <c r="O385" s="35">
        <f t="shared" si="41"/>
        <v>1.2328767123287672</v>
      </c>
      <c r="P385" s="35">
        <f t="shared" si="42"/>
        <v>2.4657534246575343</v>
      </c>
    </row>
    <row r="386" spans="12:16" ht="15" hidden="1" customHeight="1">
      <c r="L386" s="43">
        <f t="shared" si="38"/>
        <v>44887</v>
      </c>
      <c r="M386" s="35">
        <f t="shared" si="39"/>
        <v>0</v>
      </c>
      <c r="N386" s="35">
        <f t="shared" si="40"/>
        <v>30000</v>
      </c>
      <c r="O386" s="35">
        <f t="shared" si="41"/>
        <v>1.2328767123287672</v>
      </c>
      <c r="P386" s="35">
        <f t="shared" si="42"/>
        <v>2.4657534246575343</v>
      </c>
    </row>
    <row r="387" spans="12:16" ht="15" hidden="1" customHeight="1">
      <c r="L387" s="43">
        <f t="shared" si="38"/>
        <v>44888</v>
      </c>
      <c r="M387" s="35">
        <f t="shared" si="39"/>
        <v>0</v>
      </c>
      <c r="N387" s="35">
        <f t="shared" si="40"/>
        <v>30000</v>
      </c>
      <c r="O387" s="35">
        <f t="shared" si="41"/>
        <v>1.2328767123287672</v>
      </c>
      <c r="P387" s="35">
        <f t="shared" si="42"/>
        <v>2.4657534246575343</v>
      </c>
    </row>
    <row r="388" spans="12:16" ht="15" hidden="1" customHeight="1">
      <c r="L388" s="43">
        <f t="shared" si="38"/>
        <v>44889</v>
      </c>
      <c r="M388" s="35">
        <f t="shared" si="39"/>
        <v>0</v>
      </c>
      <c r="N388" s="35">
        <f t="shared" si="40"/>
        <v>30000</v>
      </c>
      <c r="O388" s="35">
        <f t="shared" si="41"/>
        <v>1.2328767123287672</v>
      </c>
      <c r="P388" s="35">
        <f t="shared" si="42"/>
        <v>2.4657534246575343</v>
      </c>
    </row>
    <row r="389" spans="12:16" ht="15" hidden="1" customHeight="1">
      <c r="L389" s="43">
        <f t="shared" si="38"/>
        <v>44890</v>
      </c>
      <c r="M389" s="35">
        <f t="shared" si="39"/>
        <v>0</v>
      </c>
      <c r="N389" s="35">
        <f t="shared" si="40"/>
        <v>30000</v>
      </c>
      <c r="O389" s="35">
        <f t="shared" si="41"/>
        <v>1.2328767123287672</v>
      </c>
      <c r="P389" s="35">
        <f t="shared" si="42"/>
        <v>2.4657534246575343</v>
      </c>
    </row>
    <row r="390" spans="12:16" ht="15" hidden="1" customHeight="1">
      <c r="L390" s="43">
        <f t="shared" si="38"/>
        <v>44891</v>
      </c>
      <c r="M390" s="35">
        <f t="shared" si="39"/>
        <v>0</v>
      </c>
      <c r="N390" s="35">
        <f t="shared" si="40"/>
        <v>30000</v>
      </c>
      <c r="O390" s="35">
        <f t="shared" si="41"/>
        <v>1.2328767123287672</v>
      </c>
      <c r="P390" s="35">
        <f t="shared" si="42"/>
        <v>2.4657534246575343</v>
      </c>
    </row>
    <row r="391" spans="12:16" ht="15" hidden="1" customHeight="1">
      <c r="L391" s="43">
        <f t="shared" si="38"/>
        <v>44892</v>
      </c>
      <c r="M391" s="35">
        <f t="shared" si="39"/>
        <v>0</v>
      </c>
      <c r="N391" s="35">
        <f t="shared" si="40"/>
        <v>30000</v>
      </c>
      <c r="O391" s="35">
        <f t="shared" si="41"/>
        <v>1.2328767123287672</v>
      </c>
      <c r="P391" s="35">
        <f t="shared" si="42"/>
        <v>2.4657534246575343</v>
      </c>
    </row>
    <row r="392" spans="12:16" ht="15" hidden="1" customHeight="1">
      <c r="L392" s="43">
        <f t="shared" si="38"/>
        <v>44893</v>
      </c>
      <c r="M392" s="35">
        <f t="shared" si="39"/>
        <v>0</v>
      </c>
      <c r="N392" s="35">
        <f t="shared" si="40"/>
        <v>30000</v>
      </c>
      <c r="O392" s="35">
        <f t="shared" si="41"/>
        <v>1.2328767123287672</v>
      </c>
      <c r="P392" s="35">
        <f t="shared" si="42"/>
        <v>2.4657534246575343</v>
      </c>
    </row>
    <row r="393" spans="12:16" ht="15" hidden="1" customHeight="1">
      <c r="L393" s="43">
        <f t="shared" si="38"/>
        <v>44894</v>
      </c>
      <c r="M393" s="35">
        <f t="shared" si="39"/>
        <v>0</v>
      </c>
      <c r="N393" s="35">
        <f t="shared" si="40"/>
        <v>30000</v>
      </c>
      <c r="O393" s="35">
        <f t="shared" si="41"/>
        <v>1.2328767123287672</v>
      </c>
      <c r="P393" s="35">
        <f t="shared" si="42"/>
        <v>2.4657534246575343</v>
      </c>
    </row>
    <row r="394" spans="12:16" ht="15" hidden="1" customHeight="1">
      <c r="L394" s="43">
        <f t="shared" si="38"/>
        <v>44895</v>
      </c>
      <c r="M394" s="35">
        <f t="shared" si="39"/>
        <v>0</v>
      </c>
      <c r="N394" s="35">
        <f t="shared" si="40"/>
        <v>30000</v>
      </c>
      <c r="O394" s="35">
        <f t="shared" si="41"/>
        <v>1.2328767123287672</v>
      </c>
      <c r="P394" s="35">
        <f t="shared" si="42"/>
        <v>2.4657534246575343</v>
      </c>
    </row>
    <row r="395" spans="12:16" ht="15" hidden="1" customHeight="1">
      <c r="L395" s="43">
        <f t="shared" si="38"/>
        <v>44896</v>
      </c>
      <c r="M395" s="35">
        <f t="shared" si="39"/>
        <v>0</v>
      </c>
      <c r="N395" s="35">
        <f t="shared" si="40"/>
        <v>30000</v>
      </c>
      <c r="O395" s="35">
        <f t="shared" si="41"/>
        <v>1.2328767123287672</v>
      </c>
      <c r="P395" s="35">
        <f t="shared" si="42"/>
        <v>2.4657534246575343</v>
      </c>
    </row>
    <row r="396" spans="12:16" ht="15" hidden="1" customHeight="1">
      <c r="L396" s="43">
        <f t="shared" si="38"/>
        <v>44897</v>
      </c>
      <c r="M396" s="35">
        <f t="shared" si="39"/>
        <v>0</v>
      </c>
      <c r="N396" s="35">
        <f t="shared" si="40"/>
        <v>30000</v>
      </c>
      <c r="O396" s="35">
        <f t="shared" si="41"/>
        <v>1.2328767123287672</v>
      </c>
      <c r="P396" s="35">
        <f t="shared" si="42"/>
        <v>2.4657534246575343</v>
      </c>
    </row>
    <row r="397" spans="12:16" ht="15" hidden="1" customHeight="1">
      <c r="L397" s="43">
        <f t="shared" si="38"/>
        <v>44898</v>
      </c>
      <c r="M397" s="35">
        <f t="shared" si="39"/>
        <v>0</v>
      </c>
      <c r="N397" s="35">
        <f t="shared" si="40"/>
        <v>30000</v>
      </c>
      <c r="O397" s="35">
        <f t="shared" si="41"/>
        <v>1.2328767123287672</v>
      </c>
      <c r="P397" s="35">
        <f t="shared" si="42"/>
        <v>2.4657534246575343</v>
      </c>
    </row>
    <row r="398" spans="12:16" ht="15" hidden="1" customHeight="1">
      <c r="L398" s="43">
        <f t="shared" si="38"/>
        <v>44899</v>
      </c>
      <c r="M398" s="35">
        <f t="shared" si="39"/>
        <v>0</v>
      </c>
      <c r="N398" s="35">
        <f t="shared" si="40"/>
        <v>30000</v>
      </c>
      <c r="O398" s="35">
        <f t="shared" si="41"/>
        <v>1.2328767123287672</v>
      </c>
      <c r="P398" s="35">
        <f t="shared" si="42"/>
        <v>2.4657534246575343</v>
      </c>
    </row>
    <row r="399" spans="12:16" ht="15" hidden="1" customHeight="1">
      <c r="L399" s="43">
        <f t="shared" si="38"/>
        <v>44900</v>
      </c>
      <c r="M399" s="35">
        <f t="shared" si="39"/>
        <v>0</v>
      </c>
      <c r="N399" s="35">
        <f t="shared" si="40"/>
        <v>30000</v>
      </c>
      <c r="O399" s="35">
        <f t="shared" si="41"/>
        <v>1.2328767123287672</v>
      </c>
      <c r="P399" s="35">
        <f t="shared" si="42"/>
        <v>2.4657534246575343</v>
      </c>
    </row>
    <row r="400" spans="12:16" ht="15" hidden="1" customHeight="1">
      <c r="L400" s="43">
        <f t="shared" si="38"/>
        <v>44901</v>
      </c>
      <c r="M400" s="35">
        <f t="shared" si="39"/>
        <v>0</v>
      </c>
      <c r="N400" s="35">
        <f t="shared" si="40"/>
        <v>30000</v>
      </c>
      <c r="O400" s="35">
        <f t="shared" si="41"/>
        <v>1.2328767123287672</v>
      </c>
      <c r="P400" s="35">
        <f t="shared" si="42"/>
        <v>2.4657534246575343</v>
      </c>
    </row>
    <row r="401" spans="12:16" ht="15" hidden="1" customHeight="1">
      <c r="L401" s="43">
        <f t="shared" si="38"/>
        <v>44902</v>
      </c>
      <c r="M401" s="35">
        <f t="shared" si="39"/>
        <v>0</v>
      </c>
      <c r="N401" s="35">
        <f t="shared" si="40"/>
        <v>30000</v>
      </c>
      <c r="O401" s="35">
        <f t="shared" si="41"/>
        <v>1.2328767123287672</v>
      </c>
      <c r="P401" s="35">
        <f t="shared" si="42"/>
        <v>2.4657534246575343</v>
      </c>
    </row>
    <row r="402" spans="12:16" ht="15" hidden="1" customHeight="1">
      <c r="L402" s="43">
        <f t="shared" si="38"/>
        <v>44903</v>
      </c>
      <c r="M402" s="35">
        <f t="shared" si="39"/>
        <v>0</v>
      </c>
      <c r="N402" s="35">
        <f t="shared" si="40"/>
        <v>30000</v>
      </c>
      <c r="O402" s="35">
        <f t="shared" si="41"/>
        <v>1.2328767123287672</v>
      </c>
      <c r="P402" s="35">
        <f t="shared" si="42"/>
        <v>2.4657534246575343</v>
      </c>
    </row>
    <row r="403" spans="12:16" ht="15" hidden="1" customHeight="1">
      <c r="L403" s="43">
        <f t="shared" si="38"/>
        <v>44904</v>
      </c>
      <c r="M403" s="35">
        <f t="shared" si="39"/>
        <v>0</v>
      </c>
      <c r="N403" s="35">
        <f t="shared" si="40"/>
        <v>30000</v>
      </c>
      <c r="O403" s="35">
        <f t="shared" si="41"/>
        <v>1.2328767123287672</v>
      </c>
      <c r="P403" s="35">
        <f t="shared" si="42"/>
        <v>2.4657534246575343</v>
      </c>
    </row>
    <row r="404" spans="12:16" ht="15" hidden="1" customHeight="1">
      <c r="L404" s="43">
        <f t="shared" si="38"/>
        <v>44905</v>
      </c>
      <c r="M404" s="35">
        <f t="shared" si="39"/>
        <v>0</v>
      </c>
      <c r="N404" s="35">
        <f t="shared" si="40"/>
        <v>30000</v>
      </c>
      <c r="O404" s="35">
        <f t="shared" si="41"/>
        <v>1.2328767123287672</v>
      </c>
      <c r="P404" s="35">
        <f t="shared" si="42"/>
        <v>2.4657534246575343</v>
      </c>
    </row>
    <row r="405" spans="12:16" ht="15" hidden="1" customHeight="1">
      <c r="L405" s="43">
        <f t="shared" si="38"/>
        <v>44906</v>
      </c>
      <c r="M405" s="35">
        <f t="shared" si="39"/>
        <v>0</v>
      </c>
      <c r="N405" s="35">
        <f t="shared" si="40"/>
        <v>30000</v>
      </c>
      <c r="O405" s="35">
        <f t="shared" si="41"/>
        <v>1.2328767123287672</v>
      </c>
      <c r="P405" s="35">
        <f t="shared" si="42"/>
        <v>2.4657534246575343</v>
      </c>
    </row>
    <row r="406" spans="12:16" ht="15" hidden="1" customHeight="1">
      <c r="L406" s="43">
        <f t="shared" si="38"/>
        <v>44907</v>
      </c>
      <c r="M406" s="35">
        <f t="shared" si="39"/>
        <v>0</v>
      </c>
      <c r="N406" s="35">
        <f t="shared" si="40"/>
        <v>30000</v>
      </c>
      <c r="O406" s="35">
        <f t="shared" si="41"/>
        <v>1.2328767123287672</v>
      </c>
      <c r="P406" s="35">
        <f t="shared" si="42"/>
        <v>2.4657534246575343</v>
      </c>
    </row>
    <row r="407" spans="12:16" ht="15" hidden="1" customHeight="1">
      <c r="L407" s="43">
        <f t="shared" si="38"/>
        <v>44908</v>
      </c>
      <c r="M407" s="35">
        <f t="shared" si="39"/>
        <v>0</v>
      </c>
      <c r="N407" s="35">
        <f t="shared" si="40"/>
        <v>30000</v>
      </c>
      <c r="O407" s="35">
        <f t="shared" si="41"/>
        <v>1.2328767123287672</v>
      </c>
      <c r="P407" s="35">
        <f t="shared" si="42"/>
        <v>2.4657534246575343</v>
      </c>
    </row>
    <row r="408" spans="12:16" ht="15" hidden="1" customHeight="1">
      <c r="L408" s="43">
        <f t="shared" si="38"/>
        <v>44909</v>
      </c>
      <c r="M408" s="35">
        <f t="shared" si="39"/>
        <v>0</v>
      </c>
      <c r="N408" s="35">
        <f t="shared" si="40"/>
        <v>30000</v>
      </c>
      <c r="O408" s="35">
        <f t="shared" si="41"/>
        <v>1.2328767123287672</v>
      </c>
      <c r="P408" s="35">
        <f t="shared" si="42"/>
        <v>2.4657534246575343</v>
      </c>
    </row>
    <row r="409" spans="12:16" ht="15" hidden="1" customHeight="1">
      <c r="L409" s="43">
        <f t="shared" si="38"/>
        <v>44910</v>
      </c>
      <c r="M409" s="35">
        <f t="shared" si="39"/>
        <v>0</v>
      </c>
      <c r="N409" s="35">
        <f t="shared" si="40"/>
        <v>30000</v>
      </c>
      <c r="O409" s="35">
        <f t="shared" si="41"/>
        <v>1.2328767123287672</v>
      </c>
      <c r="P409" s="35">
        <f t="shared" si="42"/>
        <v>2.4657534246575343</v>
      </c>
    </row>
    <row r="410" spans="12:16" ht="15" hidden="1" customHeight="1">
      <c r="L410" s="43">
        <f t="shared" si="38"/>
        <v>44911</v>
      </c>
      <c r="M410" s="35">
        <f t="shared" si="39"/>
        <v>0</v>
      </c>
      <c r="N410" s="35">
        <f t="shared" si="40"/>
        <v>30000</v>
      </c>
      <c r="O410" s="35">
        <f t="shared" si="41"/>
        <v>1.2328767123287672</v>
      </c>
      <c r="P410" s="35">
        <f t="shared" si="42"/>
        <v>2.4657534246575343</v>
      </c>
    </row>
    <row r="411" spans="12:16" ht="15" hidden="1" customHeight="1">
      <c r="L411" s="43">
        <f t="shared" si="38"/>
        <v>44912</v>
      </c>
      <c r="M411" s="35">
        <f t="shared" si="39"/>
        <v>0</v>
      </c>
      <c r="N411" s="35">
        <f t="shared" si="40"/>
        <v>30000</v>
      </c>
      <c r="O411" s="35">
        <f t="shared" si="41"/>
        <v>1.2328767123287672</v>
      </c>
      <c r="P411" s="35">
        <f t="shared" si="42"/>
        <v>2.4657534246575343</v>
      </c>
    </row>
    <row r="412" spans="12:16" ht="15" hidden="1" customHeight="1">
      <c r="L412" s="43">
        <f t="shared" si="38"/>
        <v>44913</v>
      </c>
      <c r="M412" s="35">
        <f t="shared" si="39"/>
        <v>0</v>
      </c>
      <c r="N412" s="35">
        <f t="shared" si="40"/>
        <v>30000</v>
      </c>
      <c r="O412" s="35">
        <f t="shared" si="41"/>
        <v>1.2328767123287672</v>
      </c>
      <c r="P412" s="35">
        <f t="shared" si="42"/>
        <v>2.4657534246575343</v>
      </c>
    </row>
    <row r="413" spans="12:16" ht="15" hidden="1" customHeight="1">
      <c r="L413" s="43">
        <f t="shared" si="38"/>
        <v>44914</v>
      </c>
      <c r="M413" s="35">
        <f t="shared" si="39"/>
        <v>0</v>
      </c>
      <c r="N413" s="35">
        <f t="shared" si="40"/>
        <v>30000</v>
      </c>
      <c r="O413" s="35">
        <f t="shared" si="41"/>
        <v>1.2328767123287672</v>
      </c>
      <c r="P413" s="35">
        <f t="shared" si="42"/>
        <v>2.4657534246575343</v>
      </c>
    </row>
    <row r="414" spans="12:16" ht="15" hidden="1" customHeight="1">
      <c r="L414" s="43">
        <f t="shared" si="38"/>
        <v>44915</v>
      </c>
      <c r="M414" s="35">
        <f t="shared" si="39"/>
        <v>0</v>
      </c>
      <c r="N414" s="35">
        <f t="shared" si="40"/>
        <v>30000</v>
      </c>
      <c r="O414" s="35">
        <f t="shared" si="41"/>
        <v>1.2328767123287672</v>
      </c>
      <c r="P414" s="35">
        <f t="shared" si="42"/>
        <v>2.4657534246575343</v>
      </c>
    </row>
    <row r="415" spans="12:16" ht="15" hidden="1" customHeight="1">
      <c r="L415" s="43">
        <f t="shared" ref="L415:L478" si="43">IFERROR(IF(MAX(L414+1,Дата_получения_Займа+1)&gt;Дата_погашения_Займа,"-",MAX(L414+1,Дата_получения_Займа+1)),"-")</f>
        <v>44916</v>
      </c>
      <c r="M415" s="35">
        <f t="shared" ref="M415:M478" si="44">IFERROR(VLOOKUP(L415,$B$31:$E$59,4,FALSE),0)</f>
        <v>0</v>
      </c>
      <c r="N415" s="35">
        <f t="shared" ref="N415:N478" si="45">IF(ISNUMBER(N414),N414-M415,$E$20)</f>
        <v>30000</v>
      </c>
      <c r="O415" s="35">
        <f t="shared" ref="O415:O478" si="46">IFERROR(IF(ISNUMBER(N414),N414,$E$20)*IF(L415&gt;=$J$20,$E$25,$E$24)/IF(MOD(YEAR(L415),4),365,366)*IF(ISBLANK(L414),L415-$E$22,L415-L414),0)</f>
        <v>1.2328767123287672</v>
      </c>
      <c r="P415" s="35">
        <f t="shared" ref="P415:P478" si="47">IFERROR(IF(ISNUMBER(N414),N414,$E$20)*3%/IF(MOD(YEAR(L415),4),365,366)*IF(ISBLANK(L414),(L415-$E$22),L415-L414),0)</f>
        <v>2.4657534246575343</v>
      </c>
    </row>
    <row r="416" spans="12:16" ht="15" hidden="1" customHeight="1">
      <c r="L416" s="43">
        <f t="shared" si="43"/>
        <v>44917</v>
      </c>
      <c r="M416" s="35">
        <f t="shared" si="44"/>
        <v>0</v>
      </c>
      <c r="N416" s="35">
        <f t="shared" si="45"/>
        <v>30000</v>
      </c>
      <c r="O416" s="35">
        <f t="shared" si="46"/>
        <v>1.2328767123287672</v>
      </c>
      <c r="P416" s="35">
        <f t="shared" si="47"/>
        <v>2.4657534246575343</v>
      </c>
    </row>
    <row r="417" spans="12:16" ht="15" hidden="1" customHeight="1">
      <c r="L417" s="43">
        <f t="shared" si="43"/>
        <v>44918</v>
      </c>
      <c r="M417" s="35">
        <f t="shared" si="44"/>
        <v>0</v>
      </c>
      <c r="N417" s="35">
        <f t="shared" si="45"/>
        <v>30000</v>
      </c>
      <c r="O417" s="35">
        <f t="shared" si="46"/>
        <v>1.2328767123287672</v>
      </c>
      <c r="P417" s="35">
        <f t="shared" si="47"/>
        <v>2.4657534246575343</v>
      </c>
    </row>
    <row r="418" spans="12:16" ht="15" hidden="1" customHeight="1">
      <c r="L418" s="43">
        <f t="shared" si="43"/>
        <v>44919</v>
      </c>
      <c r="M418" s="35">
        <f t="shared" si="44"/>
        <v>0</v>
      </c>
      <c r="N418" s="35">
        <f t="shared" si="45"/>
        <v>30000</v>
      </c>
      <c r="O418" s="35">
        <f t="shared" si="46"/>
        <v>1.2328767123287672</v>
      </c>
      <c r="P418" s="35">
        <f t="shared" si="47"/>
        <v>2.4657534246575343</v>
      </c>
    </row>
    <row r="419" spans="12:16" ht="15" hidden="1" customHeight="1">
      <c r="L419" s="43">
        <f t="shared" si="43"/>
        <v>44920</v>
      </c>
      <c r="M419" s="35">
        <f t="shared" si="44"/>
        <v>0</v>
      </c>
      <c r="N419" s="35">
        <f t="shared" si="45"/>
        <v>30000</v>
      </c>
      <c r="O419" s="35">
        <f t="shared" si="46"/>
        <v>1.2328767123287672</v>
      </c>
      <c r="P419" s="35">
        <f t="shared" si="47"/>
        <v>2.4657534246575343</v>
      </c>
    </row>
    <row r="420" spans="12:16" ht="15" hidden="1" customHeight="1">
      <c r="L420" s="43">
        <f t="shared" si="43"/>
        <v>44921</v>
      </c>
      <c r="M420" s="35">
        <f t="shared" si="44"/>
        <v>0</v>
      </c>
      <c r="N420" s="35">
        <f t="shared" si="45"/>
        <v>30000</v>
      </c>
      <c r="O420" s="35">
        <f t="shared" si="46"/>
        <v>1.2328767123287672</v>
      </c>
      <c r="P420" s="35">
        <f t="shared" si="47"/>
        <v>2.4657534246575343</v>
      </c>
    </row>
    <row r="421" spans="12:16" ht="15" hidden="1" customHeight="1">
      <c r="L421" s="43">
        <f t="shared" si="43"/>
        <v>44922</v>
      </c>
      <c r="M421" s="35">
        <f t="shared" si="44"/>
        <v>0</v>
      </c>
      <c r="N421" s="35">
        <f t="shared" si="45"/>
        <v>30000</v>
      </c>
      <c r="O421" s="35">
        <f t="shared" si="46"/>
        <v>1.2328767123287672</v>
      </c>
      <c r="P421" s="35">
        <f t="shared" si="47"/>
        <v>2.4657534246575343</v>
      </c>
    </row>
    <row r="422" spans="12:16" ht="15" hidden="1" customHeight="1">
      <c r="L422" s="43">
        <f t="shared" si="43"/>
        <v>44923</v>
      </c>
      <c r="M422" s="35">
        <f t="shared" si="44"/>
        <v>0</v>
      </c>
      <c r="N422" s="35">
        <f t="shared" si="45"/>
        <v>30000</v>
      </c>
      <c r="O422" s="35">
        <f t="shared" si="46"/>
        <v>1.2328767123287672</v>
      </c>
      <c r="P422" s="35">
        <f t="shared" si="47"/>
        <v>2.4657534246575343</v>
      </c>
    </row>
    <row r="423" spans="12:16" ht="15" hidden="1" customHeight="1">
      <c r="L423" s="43">
        <f t="shared" si="43"/>
        <v>44924</v>
      </c>
      <c r="M423" s="35">
        <f t="shared" si="44"/>
        <v>0</v>
      </c>
      <c r="N423" s="35">
        <f t="shared" si="45"/>
        <v>30000</v>
      </c>
      <c r="O423" s="35">
        <f t="shared" si="46"/>
        <v>1.2328767123287672</v>
      </c>
      <c r="P423" s="35">
        <f t="shared" si="47"/>
        <v>2.4657534246575343</v>
      </c>
    </row>
    <row r="424" spans="12:16" ht="15" hidden="1" customHeight="1">
      <c r="L424" s="43">
        <f t="shared" si="43"/>
        <v>44925</v>
      </c>
      <c r="M424" s="35">
        <f t="shared" si="44"/>
        <v>0</v>
      </c>
      <c r="N424" s="35">
        <f t="shared" si="45"/>
        <v>30000</v>
      </c>
      <c r="O424" s="35">
        <f t="shared" si="46"/>
        <v>1.2328767123287672</v>
      </c>
      <c r="P424" s="35">
        <f t="shared" si="47"/>
        <v>2.4657534246575343</v>
      </c>
    </row>
    <row r="425" spans="12:16" ht="15" hidden="1" customHeight="1">
      <c r="L425" s="43">
        <f t="shared" si="43"/>
        <v>44926</v>
      </c>
      <c r="M425" s="35">
        <f t="shared" si="44"/>
        <v>0</v>
      </c>
      <c r="N425" s="35">
        <f t="shared" si="45"/>
        <v>30000</v>
      </c>
      <c r="O425" s="35">
        <f t="shared" si="46"/>
        <v>1.2328767123287672</v>
      </c>
      <c r="P425" s="35">
        <f t="shared" si="47"/>
        <v>2.4657534246575343</v>
      </c>
    </row>
    <row r="426" spans="12:16" ht="15" hidden="1" customHeight="1">
      <c r="L426" s="43">
        <f t="shared" si="43"/>
        <v>44927</v>
      </c>
      <c r="M426" s="35">
        <f t="shared" si="44"/>
        <v>0</v>
      </c>
      <c r="N426" s="35">
        <f t="shared" si="45"/>
        <v>30000</v>
      </c>
      <c r="O426" s="35">
        <f t="shared" si="46"/>
        <v>1.2328767123287672</v>
      </c>
      <c r="P426" s="35">
        <f t="shared" si="47"/>
        <v>2.4657534246575343</v>
      </c>
    </row>
    <row r="427" spans="12:16" ht="15" hidden="1" customHeight="1">
      <c r="L427" s="43">
        <f t="shared" si="43"/>
        <v>44928</v>
      </c>
      <c r="M427" s="35">
        <f t="shared" si="44"/>
        <v>0</v>
      </c>
      <c r="N427" s="35">
        <f t="shared" si="45"/>
        <v>30000</v>
      </c>
      <c r="O427" s="35">
        <f t="shared" si="46"/>
        <v>1.2328767123287672</v>
      </c>
      <c r="P427" s="35">
        <f t="shared" si="47"/>
        <v>2.4657534246575343</v>
      </c>
    </row>
    <row r="428" spans="12:16" ht="15" hidden="1" customHeight="1">
      <c r="L428" s="43">
        <f t="shared" si="43"/>
        <v>44929</v>
      </c>
      <c r="M428" s="35">
        <f t="shared" si="44"/>
        <v>0</v>
      </c>
      <c r="N428" s="35">
        <f t="shared" si="45"/>
        <v>30000</v>
      </c>
      <c r="O428" s="35">
        <f t="shared" si="46"/>
        <v>1.2328767123287672</v>
      </c>
      <c r="P428" s="35">
        <f t="shared" si="47"/>
        <v>2.4657534246575343</v>
      </c>
    </row>
    <row r="429" spans="12:16" ht="15" hidden="1" customHeight="1">
      <c r="L429" s="43">
        <f t="shared" si="43"/>
        <v>44930</v>
      </c>
      <c r="M429" s="35">
        <f t="shared" si="44"/>
        <v>0</v>
      </c>
      <c r="N429" s="35">
        <f t="shared" si="45"/>
        <v>30000</v>
      </c>
      <c r="O429" s="35">
        <f t="shared" si="46"/>
        <v>1.2328767123287672</v>
      </c>
      <c r="P429" s="35">
        <f t="shared" si="47"/>
        <v>2.4657534246575343</v>
      </c>
    </row>
    <row r="430" spans="12:16" ht="15" hidden="1" customHeight="1">
      <c r="L430" s="43">
        <f t="shared" si="43"/>
        <v>44931</v>
      </c>
      <c r="M430" s="35">
        <f t="shared" si="44"/>
        <v>0</v>
      </c>
      <c r="N430" s="35">
        <f t="shared" si="45"/>
        <v>30000</v>
      </c>
      <c r="O430" s="35">
        <f t="shared" si="46"/>
        <v>1.2328767123287672</v>
      </c>
      <c r="P430" s="35">
        <f t="shared" si="47"/>
        <v>2.4657534246575343</v>
      </c>
    </row>
    <row r="431" spans="12:16" ht="15" hidden="1" customHeight="1">
      <c r="L431" s="43">
        <f t="shared" si="43"/>
        <v>44932</v>
      </c>
      <c r="M431" s="35">
        <f t="shared" si="44"/>
        <v>0</v>
      </c>
      <c r="N431" s="35">
        <f t="shared" si="45"/>
        <v>30000</v>
      </c>
      <c r="O431" s="35">
        <f t="shared" si="46"/>
        <v>1.2328767123287672</v>
      </c>
      <c r="P431" s="35">
        <f t="shared" si="47"/>
        <v>2.4657534246575343</v>
      </c>
    </row>
    <row r="432" spans="12:16" ht="15" hidden="1" customHeight="1">
      <c r="L432" s="43">
        <f t="shared" si="43"/>
        <v>44933</v>
      </c>
      <c r="M432" s="35">
        <f t="shared" si="44"/>
        <v>0</v>
      </c>
      <c r="N432" s="35">
        <f t="shared" si="45"/>
        <v>30000</v>
      </c>
      <c r="O432" s="35">
        <f t="shared" si="46"/>
        <v>1.2328767123287672</v>
      </c>
      <c r="P432" s="35">
        <f t="shared" si="47"/>
        <v>2.4657534246575343</v>
      </c>
    </row>
    <row r="433" spans="12:16" ht="15" hidden="1" customHeight="1">
      <c r="L433" s="43">
        <f t="shared" si="43"/>
        <v>44934</v>
      </c>
      <c r="M433" s="35">
        <f t="shared" si="44"/>
        <v>0</v>
      </c>
      <c r="N433" s="35">
        <f t="shared" si="45"/>
        <v>30000</v>
      </c>
      <c r="O433" s="35">
        <f t="shared" si="46"/>
        <v>1.2328767123287672</v>
      </c>
      <c r="P433" s="35">
        <f t="shared" si="47"/>
        <v>2.4657534246575343</v>
      </c>
    </row>
    <row r="434" spans="12:16" ht="15" hidden="1" customHeight="1">
      <c r="L434" s="43">
        <f t="shared" si="43"/>
        <v>44935</v>
      </c>
      <c r="M434" s="35">
        <f t="shared" si="44"/>
        <v>0</v>
      </c>
      <c r="N434" s="35">
        <f t="shared" si="45"/>
        <v>30000</v>
      </c>
      <c r="O434" s="35">
        <f t="shared" si="46"/>
        <v>1.2328767123287672</v>
      </c>
      <c r="P434" s="35">
        <f t="shared" si="47"/>
        <v>2.4657534246575343</v>
      </c>
    </row>
    <row r="435" spans="12:16" ht="15" hidden="1" customHeight="1">
      <c r="L435" s="43">
        <f t="shared" si="43"/>
        <v>44936</v>
      </c>
      <c r="M435" s="35">
        <f t="shared" si="44"/>
        <v>0</v>
      </c>
      <c r="N435" s="35">
        <f t="shared" si="45"/>
        <v>30000</v>
      </c>
      <c r="O435" s="35">
        <f t="shared" si="46"/>
        <v>1.2328767123287672</v>
      </c>
      <c r="P435" s="35">
        <f t="shared" si="47"/>
        <v>2.4657534246575343</v>
      </c>
    </row>
    <row r="436" spans="12:16" ht="15" hidden="1" customHeight="1">
      <c r="L436" s="43">
        <f t="shared" si="43"/>
        <v>44937</v>
      </c>
      <c r="M436" s="35">
        <f t="shared" si="44"/>
        <v>0</v>
      </c>
      <c r="N436" s="35">
        <f t="shared" si="45"/>
        <v>30000</v>
      </c>
      <c r="O436" s="35">
        <f t="shared" si="46"/>
        <v>1.2328767123287672</v>
      </c>
      <c r="P436" s="35">
        <f t="shared" si="47"/>
        <v>2.4657534246575343</v>
      </c>
    </row>
    <row r="437" spans="12:16" ht="15" hidden="1" customHeight="1">
      <c r="L437" s="43">
        <f t="shared" si="43"/>
        <v>44938</v>
      </c>
      <c r="M437" s="35">
        <f t="shared" si="44"/>
        <v>0</v>
      </c>
      <c r="N437" s="35">
        <f t="shared" si="45"/>
        <v>30000</v>
      </c>
      <c r="O437" s="35">
        <f t="shared" si="46"/>
        <v>1.2328767123287672</v>
      </c>
      <c r="P437" s="35">
        <f t="shared" si="47"/>
        <v>2.4657534246575343</v>
      </c>
    </row>
    <row r="438" spans="12:16" ht="15" hidden="1" customHeight="1">
      <c r="L438" s="43">
        <f t="shared" si="43"/>
        <v>44939</v>
      </c>
      <c r="M438" s="35">
        <f t="shared" si="44"/>
        <v>0</v>
      </c>
      <c r="N438" s="35">
        <f t="shared" si="45"/>
        <v>30000</v>
      </c>
      <c r="O438" s="35">
        <f t="shared" si="46"/>
        <v>1.2328767123287672</v>
      </c>
      <c r="P438" s="35">
        <f t="shared" si="47"/>
        <v>2.4657534246575343</v>
      </c>
    </row>
    <row r="439" spans="12:16" ht="15" hidden="1" customHeight="1">
      <c r="L439" s="43">
        <f t="shared" si="43"/>
        <v>44940</v>
      </c>
      <c r="M439" s="35">
        <f t="shared" si="44"/>
        <v>0</v>
      </c>
      <c r="N439" s="35">
        <f t="shared" si="45"/>
        <v>30000</v>
      </c>
      <c r="O439" s="35">
        <f t="shared" si="46"/>
        <v>1.2328767123287672</v>
      </c>
      <c r="P439" s="35">
        <f t="shared" si="47"/>
        <v>2.4657534246575343</v>
      </c>
    </row>
    <row r="440" spans="12:16" ht="15" hidden="1" customHeight="1">
      <c r="L440" s="43">
        <f t="shared" si="43"/>
        <v>44941</v>
      </c>
      <c r="M440" s="35">
        <f t="shared" si="44"/>
        <v>0</v>
      </c>
      <c r="N440" s="35">
        <f t="shared" si="45"/>
        <v>30000</v>
      </c>
      <c r="O440" s="35">
        <f t="shared" si="46"/>
        <v>1.2328767123287672</v>
      </c>
      <c r="P440" s="35">
        <f t="shared" si="47"/>
        <v>2.4657534246575343</v>
      </c>
    </row>
    <row r="441" spans="12:16" ht="15" hidden="1" customHeight="1">
      <c r="L441" s="43">
        <f t="shared" si="43"/>
        <v>44942</v>
      </c>
      <c r="M441" s="35">
        <f t="shared" si="44"/>
        <v>0</v>
      </c>
      <c r="N441" s="35">
        <f t="shared" si="45"/>
        <v>30000</v>
      </c>
      <c r="O441" s="35">
        <f t="shared" si="46"/>
        <v>1.2328767123287672</v>
      </c>
      <c r="P441" s="35">
        <f t="shared" si="47"/>
        <v>2.4657534246575343</v>
      </c>
    </row>
    <row r="442" spans="12:16" ht="15" hidden="1" customHeight="1">
      <c r="L442" s="43">
        <f t="shared" si="43"/>
        <v>44943</v>
      </c>
      <c r="M442" s="35">
        <f t="shared" si="44"/>
        <v>0</v>
      </c>
      <c r="N442" s="35">
        <f t="shared" si="45"/>
        <v>30000</v>
      </c>
      <c r="O442" s="35">
        <f t="shared" si="46"/>
        <v>1.2328767123287672</v>
      </c>
      <c r="P442" s="35">
        <f t="shared" si="47"/>
        <v>2.4657534246575343</v>
      </c>
    </row>
    <row r="443" spans="12:16" ht="15" hidden="1" customHeight="1">
      <c r="L443" s="43">
        <f t="shared" si="43"/>
        <v>44944</v>
      </c>
      <c r="M443" s="35">
        <f t="shared" si="44"/>
        <v>0</v>
      </c>
      <c r="N443" s="35">
        <f t="shared" si="45"/>
        <v>30000</v>
      </c>
      <c r="O443" s="35">
        <f t="shared" si="46"/>
        <v>1.2328767123287672</v>
      </c>
      <c r="P443" s="35">
        <f t="shared" si="47"/>
        <v>2.4657534246575343</v>
      </c>
    </row>
    <row r="444" spans="12:16" ht="15" hidden="1" customHeight="1">
      <c r="L444" s="43">
        <f t="shared" si="43"/>
        <v>44945</v>
      </c>
      <c r="M444" s="35">
        <f t="shared" si="44"/>
        <v>0</v>
      </c>
      <c r="N444" s="35">
        <f t="shared" si="45"/>
        <v>30000</v>
      </c>
      <c r="O444" s="35">
        <f t="shared" si="46"/>
        <v>1.2328767123287672</v>
      </c>
      <c r="P444" s="35">
        <f t="shared" si="47"/>
        <v>2.4657534246575343</v>
      </c>
    </row>
    <row r="445" spans="12:16" ht="15" hidden="1" customHeight="1">
      <c r="L445" s="43">
        <f t="shared" si="43"/>
        <v>44946</v>
      </c>
      <c r="M445" s="35">
        <f t="shared" si="44"/>
        <v>0</v>
      </c>
      <c r="N445" s="35">
        <f t="shared" si="45"/>
        <v>30000</v>
      </c>
      <c r="O445" s="35">
        <f t="shared" si="46"/>
        <v>1.2328767123287672</v>
      </c>
      <c r="P445" s="35">
        <f t="shared" si="47"/>
        <v>2.4657534246575343</v>
      </c>
    </row>
    <row r="446" spans="12:16" ht="15" hidden="1" customHeight="1">
      <c r="L446" s="43">
        <f t="shared" si="43"/>
        <v>44947</v>
      </c>
      <c r="M446" s="35">
        <f t="shared" si="44"/>
        <v>0</v>
      </c>
      <c r="N446" s="35">
        <f t="shared" si="45"/>
        <v>30000</v>
      </c>
      <c r="O446" s="35">
        <f t="shared" si="46"/>
        <v>1.2328767123287672</v>
      </c>
      <c r="P446" s="35">
        <f t="shared" si="47"/>
        <v>2.4657534246575343</v>
      </c>
    </row>
    <row r="447" spans="12:16" ht="15" hidden="1" customHeight="1">
      <c r="L447" s="43">
        <f t="shared" si="43"/>
        <v>44948</v>
      </c>
      <c r="M447" s="35">
        <f t="shared" si="44"/>
        <v>0</v>
      </c>
      <c r="N447" s="35">
        <f t="shared" si="45"/>
        <v>30000</v>
      </c>
      <c r="O447" s="35">
        <f t="shared" si="46"/>
        <v>1.2328767123287672</v>
      </c>
      <c r="P447" s="35">
        <f t="shared" si="47"/>
        <v>2.4657534246575343</v>
      </c>
    </row>
    <row r="448" spans="12:16" ht="15" hidden="1" customHeight="1">
      <c r="L448" s="43">
        <f t="shared" si="43"/>
        <v>44949</v>
      </c>
      <c r="M448" s="35">
        <f t="shared" si="44"/>
        <v>0</v>
      </c>
      <c r="N448" s="35">
        <f t="shared" si="45"/>
        <v>30000</v>
      </c>
      <c r="O448" s="35">
        <f t="shared" si="46"/>
        <v>1.2328767123287672</v>
      </c>
      <c r="P448" s="35">
        <f t="shared" si="47"/>
        <v>2.4657534246575343</v>
      </c>
    </row>
    <row r="449" spans="12:16" ht="15" hidden="1" customHeight="1">
      <c r="L449" s="43">
        <f t="shared" si="43"/>
        <v>44950</v>
      </c>
      <c r="M449" s="35">
        <f t="shared" si="44"/>
        <v>0</v>
      </c>
      <c r="N449" s="35">
        <f t="shared" si="45"/>
        <v>30000</v>
      </c>
      <c r="O449" s="35">
        <f t="shared" si="46"/>
        <v>1.2328767123287672</v>
      </c>
      <c r="P449" s="35">
        <f t="shared" si="47"/>
        <v>2.4657534246575343</v>
      </c>
    </row>
    <row r="450" spans="12:16" ht="15" hidden="1" customHeight="1">
      <c r="L450" s="43">
        <f t="shared" si="43"/>
        <v>44951</v>
      </c>
      <c r="M450" s="35">
        <f t="shared" si="44"/>
        <v>0</v>
      </c>
      <c r="N450" s="35">
        <f t="shared" si="45"/>
        <v>30000</v>
      </c>
      <c r="O450" s="35">
        <f t="shared" si="46"/>
        <v>1.2328767123287672</v>
      </c>
      <c r="P450" s="35">
        <f t="shared" si="47"/>
        <v>2.4657534246575343</v>
      </c>
    </row>
    <row r="451" spans="12:16" ht="15" hidden="1" customHeight="1">
      <c r="L451" s="43">
        <f t="shared" si="43"/>
        <v>44952</v>
      </c>
      <c r="M451" s="35">
        <f t="shared" si="44"/>
        <v>0</v>
      </c>
      <c r="N451" s="35">
        <f t="shared" si="45"/>
        <v>30000</v>
      </c>
      <c r="O451" s="35">
        <f t="shared" si="46"/>
        <v>1.2328767123287672</v>
      </c>
      <c r="P451" s="35">
        <f t="shared" si="47"/>
        <v>2.4657534246575343</v>
      </c>
    </row>
    <row r="452" spans="12:16" ht="15" hidden="1" customHeight="1">
      <c r="L452" s="43">
        <f t="shared" si="43"/>
        <v>44953</v>
      </c>
      <c r="M452" s="35">
        <f t="shared" si="44"/>
        <v>0</v>
      </c>
      <c r="N452" s="35">
        <f t="shared" si="45"/>
        <v>30000</v>
      </c>
      <c r="O452" s="35">
        <f t="shared" si="46"/>
        <v>1.2328767123287672</v>
      </c>
      <c r="P452" s="35">
        <f t="shared" si="47"/>
        <v>2.4657534246575343</v>
      </c>
    </row>
    <row r="453" spans="12:16" ht="15" hidden="1" customHeight="1">
      <c r="L453" s="43">
        <f t="shared" si="43"/>
        <v>44954</v>
      </c>
      <c r="M453" s="35">
        <f t="shared" si="44"/>
        <v>0</v>
      </c>
      <c r="N453" s="35">
        <f t="shared" si="45"/>
        <v>30000</v>
      </c>
      <c r="O453" s="35">
        <f t="shared" si="46"/>
        <v>1.2328767123287672</v>
      </c>
      <c r="P453" s="35">
        <f t="shared" si="47"/>
        <v>2.4657534246575343</v>
      </c>
    </row>
    <row r="454" spans="12:16" ht="15" hidden="1" customHeight="1">
      <c r="L454" s="43">
        <f t="shared" si="43"/>
        <v>44955</v>
      </c>
      <c r="M454" s="35">
        <f t="shared" si="44"/>
        <v>0</v>
      </c>
      <c r="N454" s="35">
        <f t="shared" si="45"/>
        <v>30000</v>
      </c>
      <c r="O454" s="35">
        <f t="shared" si="46"/>
        <v>1.2328767123287672</v>
      </c>
      <c r="P454" s="35">
        <f t="shared" si="47"/>
        <v>2.4657534246575343</v>
      </c>
    </row>
    <row r="455" spans="12:16" ht="15" hidden="1" customHeight="1">
      <c r="L455" s="43">
        <f t="shared" si="43"/>
        <v>44956</v>
      </c>
      <c r="M455" s="35">
        <f t="shared" si="44"/>
        <v>0</v>
      </c>
      <c r="N455" s="35">
        <f t="shared" si="45"/>
        <v>30000</v>
      </c>
      <c r="O455" s="35">
        <f t="shared" si="46"/>
        <v>1.2328767123287672</v>
      </c>
      <c r="P455" s="35">
        <f t="shared" si="47"/>
        <v>2.4657534246575343</v>
      </c>
    </row>
    <row r="456" spans="12:16" ht="15" hidden="1" customHeight="1">
      <c r="L456" s="43">
        <f t="shared" si="43"/>
        <v>44957</v>
      </c>
      <c r="M456" s="35">
        <f t="shared" si="44"/>
        <v>0</v>
      </c>
      <c r="N456" s="35">
        <f t="shared" si="45"/>
        <v>30000</v>
      </c>
      <c r="O456" s="35">
        <f t="shared" si="46"/>
        <v>1.2328767123287672</v>
      </c>
      <c r="P456" s="35">
        <f t="shared" si="47"/>
        <v>2.4657534246575343</v>
      </c>
    </row>
    <row r="457" spans="12:16" ht="15" hidden="1" customHeight="1">
      <c r="L457" s="43">
        <f t="shared" si="43"/>
        <v>44958</v>
      </c>
      <c r="M457" s="35">
        <f t="shared" si="44"/>
        <v>0</v>
      </c>
      <c r="N457" s="35">
        <f t="shared" si="45"/>
        <v>30000</v>
      </c>
      <c r="O457" s="35">
        <f t="shared" si="46"/>
        <v>1.2328767123287672</v>
      </c>
      <c r="P457" s="35">
        <f t="shared" si="47"/>
        <v>2.4657534246575343</v>
      </c>
    </row>
    <row r="458" spans="12:16" ht="15" hidden="1" customHeight="1">
      <c r="L458" s="43">
        <f t="shared" si="43"/>
        <v>44959</v>
      </c>
      <c r="M458" s="35">
        <f t="shared" si="44"/>
        <v>0</v>
      </c>
      <c r="N458" s="35">
        <f t="shared" si="45"/>
        <v>30000</v>
      </c>
      <c r="O458" s="35">
        <f t="shared" si="46"/>
        <v>1.2328767123287672</v>
      </c>
      <c r="P458" s="35">
        <f t="shared" si="47"/>
        <v>2.4657534246575343</v>
      </c>
    </row>
    <row r="459" spans="12:16" ht="15" hidden="1" customHeight="1">
      <c r="L459" s="43">
        <f t="shared" si="43"/>
        <v>44960</v>
      </c>
      <c r="M459" s="35">
        <f t="shared" si="44"/>
        <v>0</v>
      </c>
      <c r="N459" s="35">
        <f t="shared" si="45"/>
        <v>30000</v>
      </c>
      <c r="O459" s="35">
        <f t="shared" si="46"/>
        <v>1.2328767123287672</v>
      </c>
      <c r="P459" s="35">
        <f t="shared" si="47"/>
        <v>2.4657534246575343</v>
      </c>
    </row>
    <row r="460" spans="12:16" ht="15" hidden="1" customHeight="1">
      <c r="L460" s="43">
        <f t="shared" si="43"/>
        <v>44961</v>
      </c>
      <c r="M460" s="35">
        <f t="shared" si="44"/>
        <v>0</v>
      </c>
      <c r="N460" s="35">
        <f t="shared" si="45"/>
        <v>30000</v>
      </c>
      <c r="O460" s="35">
        <f t="shared" si="46"/>
        <v>1.2328767123287672</v>
      </c>
      <c r="P460" s="35">
        <f t="shared" si="47"/>
        <v>2.4657534246575343</v>
      </c>
    </row>
    <row r="461" spans="12:16" ht="15" hidden="1" customHeight="1">
      <c r="L461" s="43">
        <f t="shared" si="43"/>
        <v>44962</v>
      </c>
      <c r="M461" s="35">
        <f t="shared" si="44"/>
        <v>0</v>
      </c>
      <c r="N461" s="35">
        <f t="shared" si="45"/>
        <v>30000</v>
      </c>
      <c r="O461" s="35">
        <f t="shared" si="46"/>
        <v>1.2328767123287672</v>
      </c>
      <c r="P461" s="35">
        <f t="shared" si="47"/>
        <v>2.4657534246575343</v>
      </c>
    </row>
    <row r="462" spans="12:16" ht="15" hidden="1" customHeight="1">
      <c r="L462" s="43">
        <f t="shared" si="43"/>
        <v>44963</v>
      </c>
      <c r="M462" s="35">
        <f t="shared" si="44"/>
        <v>0</v>
      </c>
      <c r="N462" s="35">
        <f t="shared" si="45"/>
        <v>30000</v>
      </c>
      <c r="O462" s="35">
        <f t="shared" si="46"/>
        <v>1.2328767123287672</v>
      </c>
      <c r="P462" s="35">
        <f t="shared" si="47"/>
        <v>2.4657534246575343</v>
      </c>
    </row>
    <row r="463" spans="12:16" ht="15" hidden="1" customHeight="1">
      <c r="L463" s="43">
        <f t="shared" si="43"/>
        <v>44964</v>
      </c>
      <c r="M463" s="35">
        <f t="shared" si="44"/>
        <v>0</v>
      </c>
      <c r="N463" s="35">
        <f t="shared" si="45"/>
        <v>30000</v>
      </c>
      <c r="O463" s="35">
        <f t="shared" si="46"/>
        <v>1.2328767123287672</v>
      </c>
      <c r="P463" s="35">
        <f t="shared" si="47"/>
        <v>2.4657534246575343</v>
      </c>
    </row>
    <row r="464" spans="12:16" ht="15" hidden="1" customHeight="1">
      <c r="L464" s="43">
        <f t="shared" si="43"/>
        <v>44965</v>
      </c>
      <c r="M464" s="35">
        <f t="shared" si="44"/>
        <v>0</v>
      </c>
      <c r="N464" s="35">
        <f t="shared" si="45"/>
        <v>30000</v>
      </c>
      <c r="O464" s="35">
        <f t="shared" si="46"/>
        <v>1.2328767123287672</v>
      </c>
      <c r="P464" s="35">
        <f t="shared" si="47"/>
        <v>2.4657534246575343</v>
      </c>
    </row>
    <row r="465" spans="12:16" ht="15" hidden="1" customHeight="1">
      <c r="L465" s="43">
        <f t="shared" si="43"/>
        <v>44966</v>
      </c>
      <c r="M465" s="35">
        <f t="shared" si="44"/>
        <v>0</v>
      </c>
      <c r="N465" s="35">
        <f t="shared" si="45"/>
        <v>30000</v>
      </c>
      <c r="O465" s="35">
        <f t="shared" si="46"/>
        <v>1.2328767123287672</v>
      </c>
      <c r="P465" s="35">
        <f t="shared" si="47"/>
        <v>2.4657534246575343</v>
      </c>
    </row>
    <row r="466" spans="12:16" ht="15" hidden="1" customHeight="1">
      <c r="L466" s="43">
        <f t="shared" si="43"/>
        <v>44967</v>
      </c>
      <c r="M466" s="35">
        <f t="shared" si="44"/>
        <v>0</v>
      </c>
      <c r="N466" s="35">
        <f t="shared" si="45"/>
        <v>30000</v>
      </c>
      <c r="O466" s="35">
        <f t="shared" si="46"/>
        <v>1.2328767123287672</v>
      </c>
      <c r="P466" s="35">
        <f t="shared" si="47"/>
        <v>2.4657534246575343</v>
      </c>
    </row>
    <row r="467" spans="12:16" ht="15" hidden="1" customHeight="1">
      <c r="L467" s="43">
        <f t="shared" si="43"/>
        <v>44968</v>
      </c>
      <c r="M467" s="35">
        <f t="shared" si="44"/>
        <v>0</v>
      </c>
      <c r="N467" s="35">
        <f t="shared" si="45"/>
        <v>30000</v>
      </c>
      <c r="O467" s="35">
        <f t="shared" si="46"/>
        <v>1.2328767123287672</v>
      </c>
      <c r="P467" s="35">
        <f t="shared" si="47"/>
        <v>2.4657534246575343</v>
      </c>
    </row>
    <row r="468" spans="12:16" ht="15" hidden="1" customHeight="1">
      <c r="L468" s="43">
        <f t="shared" si="43"/>
        <v>44969</v>
      </c>
      <c r="M468" s="35">
        <f t="shared" si="44"/>
        <v>0</v>
      </c>
      <c r="N468" s="35">
        <f t="shared" si="45"/>
        <v>30000</v>
      </c>
      <c r="O468" s="35">
        <f t="shared" si="46"/>
        <v>1.2328767123287672</v>
      </c>
      <c r="P468" s="35">
        <f t="shared" si="47"/>
        <v>2.4657534246575343</v>
      </c>
    </row>
    <row r="469" spans="12:16" ht="15" hidden="1" customHeight="1">
      <c r="L469" s="43">
        <f t="shared" si="43"/>
        <v>44970</v>
      </c>
      <c r="M469" s="35">
        <f t="shared" si="44"/>
        <v>0</v>
      </c>
      <c r="N469" s="35">
        <f t="shared" si="45"/>
        <v>30000</v>
      </c>
      <c r="O469" s="35">
        <f t="shared" si="46"/>
        <v>1.2328767123287672</v>
      </c>
      <c r="P469" s="35">
        <f t="shared" si="47"/>
        <v>2.4657534246575343</v>
      </c>
    </row>
    <row r="470" spans="12:16" ht="15" hidden="1" customHeight="1">
      <c r="L470" s="43">
        <f t="shared" si="43"/>
        <v>44971</v>
      </c>
      <c r="M470" s="35">
        <f t="shared" si="44"/>
        <v>0</v>
      </c>
      <c r="N470" s="35">
        <f t="shared" si="45"/>
        <v>30000</v>
      </c>
      <c r="O470" s="35">
        <f t="shared" si="46"/>
        <v>1.2328767123287672</v>
      </c>
      <c r="P470" s="35">
        <f t="shared" si="47"/>
        <v>2.4657534246575343</v>
      </c>
    </row>
    <row r="471" spans="12:16" ht="15" hidden="1" customHeight="1">
      <c r="L471" s="43">
        <f t="shared" si="43"/>
        <v>44972</v>
      </c>
      <c r="M471" s="35">
        <f t="shared" si="44"/>
        <v>0</v>
      </c>
      <c r="N471" s="35">
        <f t="shared" si="45"/>
        <v>30000</v>
      </c>
      <c r="O471" s="35">
        <f t="shared" si="46"/>
        <v>1.2328767123287672</v>
      </c>
      <c r="P471" s="35">
        <f t="shared" si="47"/>
        <v>2.4657534246575343</v>
      </c>
    </row>
    <row r="472" spans="12:16" ht="15" hidden="1" customHeight="1">
      <c r="L472" s="43">
        <f t="shared" si="43"/>
        <v>44973</v>
      </c>
      <c r="M472" s="35">
        <f t="shared" si="44"/>
        <v>0</v>
      </c>
      <c r="N472" s="35">
        <f t="shared" si="45"/>
        <v>30000</v>
      </c>
      <c r="O472" s="35">
        <f t="shared" si="46"/>
        <v>1.2328767123287672</v>
      </c>
      <c r="P472" s="35">
        <f t="shared" si="47"/>
        <v>2.4657534246575343</v>
      </c>
    </row>
    <row r="473" spans="12:16" ht="15" hidden="1" customHeight="1">
      <c r="L473" s="43">
        <f t="shared" si="43"/>
        <v>44974</v>
      </c>
      <c r="M473" s="35">
        <f t="shared" si="44"/>
        <v>0</v>
      </c>
      <c r="N473" s="35">
        <f t="shared" si="45"/>
        <v>30000</v>
      </c>
      <c r="O473" s="35">
        <f t="shared" si="46"/>
        <v>1.2328767123287672</v>
      </c>
      <c r="P473" s="35">
        <f t="shared" si="47"/>
        <v>2.4657534246575343</v>
      </c>
    </row>
    <row r="474" spans="12:16" ht="15" hidden="1" customHeight="1">
      <c r="L474" s="43">
        <f t="shared" si="43"/>
        <v>44975</v>
      </c>
      <c r="M474" s="35">
        <f t="shared" si="44"/>
        <v>0</v>
      </c>
      <c r="N474" s="35">
        <f t="shared" si="45"/>
        <v>30000</v>
      </c>
      <c r="O474" s="35">
        <f t="shared" si="46"/>
        <v>1.2328767123287672</v>
      </c>
      <c r="P474" s="35">
        <f t="shared" si="47"/>
        <v>2.4657534246575343</v>
      </c>
    </row>
    <row r="475" spans="12:16" ht="15" hidden="1" customHeight="1">
      <c r="L475" s="43">
        <f t="shared" si="43"/>
        <v>44976</v>
      </c>
      <c r="M475" s="35">
        <f t="shared" si="44"/>
        <v>0</v>
      </c>
      <c r="N475" s="35">
        <f t="shared" si="45"/>
        <v>30000</v>
      </c>
      <c r="O475" s="35">
        <f t="shared" si="46"/>
        <v>1.2328767123287672</v>
      </c>
      <c r="P475" s="35">
        <f t="shared" si="47"/>
        <v>2.4657534246575343</v>
      </c>
    </row>
    <row r="476" spans="12:16" ht="15" hidden="1" customHeight="1">
      <c r="L476" s="43">
        <f t="shared" si="43"/>
        <v>44977</v>
      </c>
      <c r="M476" s="35">
        <f t="shared" si="44"/>
        <v>0</v>
      </c>
      <c r="N476" s="35">
        <f t="shared" si="45"/>
        <v>30000</v>
      </c>
      <c r="O476" s="35">
        <f t="shared" si="46"/>
        <v>1.2328767123287672</v>
      </c>
      <c r="P476" s="35">
        <f t="shared" si="47"/>
        <v>2.4657534246575343</v>
      </c>
    </row>
    <row r="477" spans="12:16" ht="15" hidden="1" customHeight="1">
      <c r="L477" s="43">
        <f t="shared" si="43"/>
        <v>44978</v>
      </c>
      <c r="M477" s="35">
        <f t="shared" si="44"/>
        <v>0</v>
      </c>
      <c r="N477" s="35">
        <f t="shared" si="45"/>
        <v>30000</v>
      </c>
      <c r="O477" s="35">
        <f t="shared" si="46"/>
        <v>1.2328767123287672</v>
      </c>
      <c r="P477" s="35">
        <f t="shared" si="47"/>
        <v>2.4657534246575343</v>
      </c>
    </row>
    <row r="478" spans="12:16" ht="15" hidden="1" customHeight="1">
      <c r="L478" s="43">
        <f t="shared" si="43"/>
        <v>44979</v>
      </c>
      <c r="M478" s="35">
        <f t="shared" si="44"/>
        <v>0</v>
      </c>
      <c r="N478" s="35">
        <f t="shared" si="45"/>
        <v>30000</v>
      </c>
      <c r="O478" s="35">
        <f t="shared" si="46"/>
        <v>1.2328767123287672</v>
      </c>
      <c r="P478" s="35">
        <f t="shared" si="47"/>
        <v>2.4657534246575343</v>
      </c>
    </row>
    <row r="479" spans="12:16" ht="15" hidden="1" customHeight="1">
      <c r="L479" s="43">
        <f t="shared" ref="L479:L542" si="48">IFERROR(IF(MAX(L478+1,Дата_получения_Займа+1)&gt;Дата_погашения_Займа,"-",MAX(L478+1,Дата_получения_Займа+1)),"-")</f>
        <v>44980</v>
      </c>
      <c r="M479" s="35">
        <f t="shared" ref="M479:M542" si="49">IFERROR(VLOOKUP(L479,$B$31:$E$59,4,FALSE),0)</f>
        <v>0</v>
      </c>
      <c r="N479" s="35">
        <f t="shared" ref="N479:N542" si="50">IF(ISNUMBER(N478),N478-M479,$E$20)</f>
        <v>30000</v>
      </c>
      <c r="O479" s="35">
        <f t="shared" ref="O479:O542" si="51">IFERROR(IF(ISNUMBER(N478),N478,$E$20)*IF(L479&gt;=$J$20,$E$25,$E$24)/IF(MOD(YEAR(L479),4),365,366)*IF(ISBLANK(L478),L479-$E$22,L479-L478),0)</f>
        <v>1.2328767123287672</v>
      </c>
      <c r="P479" s="35">
        <f t="shared" ref="P479:P542" si="52">IFERROR(IF(ISNUMBER(N478),N478,$E$20)*3%/IF(MOD(YEAR(L479),4),365,366)*IF(ISBLANK(L478),(L479-$E$22),L479-L478),0)</f>
        <v>2.4657534246575343</v>
      </c>
    </row>
    <row r="480" spans="12:16" ht="15" hidden="1" customHeight="1">
      <c r="L480" s="43">
        <f t="shared" si="48"/>
        <v>44981</v>
      </c>
      <c r="M480" s="35">
        <f t="shared" si="49"/>
        <v>0</v>
      </c>
      <c r="N480" s="35">
        <f t="shared" si="50"/>
        <v>30000</v>
      </c>
      <c r="O480" s="35">
        <f t="shared" si="51"/>
        <v>1.2328767123287672</v>
      </c>
      <c r="P480" s="35">
        <f t="shared" si="52"/>
        <v>2.4657534246575343</v>
      </c>
    </row>
    <row r="481" spans="12:16" ht="15" hidden="1" customHeight="1">
      <c r="L481" s="43">
        <f t="shared" si="48"/>
        <v>44982</v>
      </c>
      <c r="M481" s="35">
        <f t="shared" si="49"/>
        <v>0</v>
      </c>
      <c r="N481" s="35">
        <f t="shared" si="50"/>
        <v>30000</v>
      </c>
      <c r="O481" s="35">
        <f t="shared" si="51"/>
        <v>1.2328767123287672</v>
      </c>
      <c r="P481" s="35">
        <f t="shared" si="52"/>
        <v>2.4657534246575343</v>
      </c>
    </row>
    <row r="482" spans="12:16" ht="15" hidden="1" customHeight="1">
      <c r="L482" s="43">
        <f t="shared" si="48"/>
        <v>44983</v>
      </c>
      <c r="M482" s="35">
        <f t="shared" si="49"/>
        <v>0</v>
      </c>
      <c r="N482" s="35">
        <f t="shared" si="50"/>
        <v>30000</v>
      </c>
      <c r="O482" s="35">
        <f t="shared" si="51"/>
        <v>1.2328767123287672</v>
      </c>
      <c r="P482" s="35">
        <f t="shared" si="52"/>
        <v>2.4657534246575343</v>
      </c>
    </row>
    <row r="483" spans="12:16" ht="15" hidden="1" customHeight="1">
      <c r="L483" s="43">
        <f t="shared" si="48"/>
        <v>44984</v>
      </c>
      <c r="M483" s="35">
        <f t="shared" si="49"/>
        <v>0</v>
      </c>
      <c r="N483" s="35">
        <f t="shared" si="50"/>
        <v>30000</v>
      </c>
      <c r="O483" s="35">
        <f t="shared" si="51"/>
        <v>1.2328767123287672</v>
      </c>
      <c r="P483" s="35">
        <f t="shared" si="52"/>
        <v>2.4657534246575343</v>
      </c>
    </row>
    <row r="484" spans="12:16" ht="15" hidden="1" customHeight="1">
      <c r="L484" s="43">
        <f t="shared" si="48"/>
        <v>44985</v>
      </c>
      <c r="M484" s="35">
        <f t="shared" si="49"/>
        <v>0</v>
      </c>
      <c r="N484" s="35">
        <f t="shared" si="50"/>
        <v>30000</v>
      </c>
      <c r="O484" s="35">
        <f t="shared" si="51"/>
        <v>1.2328767123287672</v>
      </c>
      <c r="P484" s="35">
        <f t="shared" si="52"/>
        <v>2.4657534246575343</v>
      </c>
    </row>
    <row r="485" spans="12:16" ht="15" hidden="1" customHeight="1">
      <c r="L485" s="43">
        <f t="shared" si="48"/>
        <v>44986</v>
      </c>
      <c r="M485" s="35">
        <f t="shared" si="49"/>
        <v>0</v>
      </c>
      <c r="N485" s="35">
        <f t="shared" si="50"/>
        <v>30000</v>
      </c>
      <c r="O485" s="35">
        <f t="shared" si="51"/>
        <v>1.2328767123287672</v>
      </c>
      <c r="P485" s="35">
        <f t="shared" si="52"/>
        <v>2.4657534246575343</v>
      </c>
    </row>
    <row r="486" spans="12:16" ht="15" hidden="1" customHeight="1">
      <c r="L486" s="43">
        <f t="shared" si="48"/>
        <v>44987</v>
      </c>
      <c r="M486" s="35">
        <f t="shared" si="49"/>
        <v>0</v>
      </c>
      <c r="N486" s="35">
        <f t="shared" si="50"/>
        <v>30000</v>
      </c>
      <c r="O486" s="35">
        <f t="shared" si="51"/>
        <v>1.2328767123287672</v>
      </c>
      <c r="P486" s="35">
        <f t="shared" si="52"/>
        <v>2.4657534246575343</v>
      </c>
    </row>
    <row r="487" spans="12:16" ht="15" hidden="1" customHeight="1">
      <c r="L487" s="43">
        <f t="shared" si="48"/>
        <v>44988</v>
      </c>
      <c r="M487" s="35">
        <f t="shared" si="49"/>
        <v>0</v>
      </c>
      <c r="N487" s="35">
        <f t="shared" si="50"/>
        <v>30000</v>
      </c>
      <c r="O487" s="35">
        <f t="shared" si="51"/>
        <v>1.2328767123287672</v>
      </c>
      <c r="P487" s="35">
        <f t="shared" si="52"/>
        <v>2.4657534246575343</v>
      </c>
    </row>
    <row r="488" spans="12:16" ht="15" hidden="1" customHeight="1">
      <c r="L488" s="43">
        <f t="shared" si="48"/>
        <v>44989</v>
      </c>
      <c r="M488" s="35">
        <f t="shared" si="49"/>
        <v>0</v>
      </c>
      <c r="N488" s="35">
        <f t="shared" si="50"/>
        <v>30000</v>
      </c>
      <c r="O488" s="35">
        <f t="shared" si="51"/>
        <v>1.2328767123287672</v>
      </c>
      <c r="P488" s="35">
        <f t="shared" si="52"/>
        <v>2.4657534246575343</v>
      </c>
    </row>
    <row r="489" spans="12:16" ht="15" hidden="1" customHeight="1">
      <c r="L489" s="43">
        <f t="shared" si="48"/>
        <v>44990</v>
      </c>
      <c r="M489" s="35">
        <f t="shared" si="49"/>
        <v>0</v>
      </c>
      <c r="N489" s="35">
        <f t="shared" si="50"/>
        <v>30000</v>
      </c>
      <c r="O489" s="35">
        <f t="shared" si="51"/>
        <v>1.2328767123287672</v>
      </c>
      <c r="P489" s="35">
        <f t="shared" si="52"/>
        <v>2.4657534246575343</v>
      </c>
    </row>
    <row r="490" spans="12:16" ht="15" hidden="1" customHeight="1">
      <c r="L490" s="43">
        <f t="shared" si="48"/>
        <v>44991</v>
      </c>
      <c r="M490" s="35">
        <f t="shared" si="49"/>
        <v>0</v>
      </c>
      <c r="N490" s="35">
        <f t="shared" si="50"/>
        <v>30000</v>
      </c>
      <c r="O490" s="35">
        <f t="shared" si="51"/>
        <v>1.2328767123287672</v>
      </c>
      <c r="P490" s="35">
        <f t="shared" si="52"/>
        <v>2.4657534246575343</v>
      </c>
    </row>
    <row r="491" spans="12:16" ht="15" hidden="1" customHeight="1">
      <c r="L491" s="43">
        <f t="shared" si="48"/>
        <v>44992</v>
      </c>
      <c r="M491" s="35">
        <f t="shared" si="49"/>
        <v>0</v>
      </c>
      <c r="N491" s="35">
        <f t="shared" si="50"/>
        <v>30000</v>
      </c>
      <c r="O491" s="35">
        <f t="shared" si="51"/>
        <v>1.2328767123287672</v>
      </c>
      <c r="P491" s="35">
        <f t="shared" si="52"/>
        <v>2.4657534246575343</v>
      </c>
    </row>
    <row r="492" spans="12:16" ht="15" hidden="1" customHeight="1">
      <c r="L492" s="43">
        <f t="shared" si="48"/>
        <v>44993</v>
      </c>
      <c r="M492" s="35">
        <f t="shared" si="49"/>
        <v>0</v>
      </c>
      <c r="N492" s="35">
        <f t="shared" si="50"/>
        <v>30000</v>
      </c>
      <c r="O492" s="35">
        <f t="shared" si="51"/>
        <v>1.2328767123287672</v>
      </c>
      <c r="P492" s="35">
        <f t="shared" si="52"/>
        <v>2.4657534246575343</v>
      </c>
    </row>
    <row r="493" spans="12:16" ht="15" hidden="1" customHeight="1">
      <c r="L493" s="43">
        <f t="shared" si="48"/>
        <v>44994</v>
      </c>
      <c r="M493" s="35">
        <f t="shared" si="49"/>
        <v>0</v>
      </c>
      <c r="N493" s="35">
        <f t="shared" si="50"/>
        <v>30000</v>
      </c>
      <c r="O493" s="35">
        <f t="shared" si="51"/>
        <v>1.2328767123287672</v>
      </c>
      <c r="P493" s="35">
        <f t="shared" si="52"/>
        <v>2.4657534246575343</v>
      </c>
    </row>
    <row r="494" spans="12:16" ht="15" hidden="1" customHeight="1">
      <c r="L494" s="43">
        <f t="shared" si="48"/>
        <v>44995</v>
      </c>
      <c r="M494" s="35">
        <f t="shared" si="49"/>
        <v>0</v>
      </c>
      <c r="N494" s="35">
        <f t="shared" si="50"/>
        <v>30000</v>
      </c>
      <c r="O494" s="35">
        <f t="shared" si="51"/>
        <v>1.2328767123287672</v>
      </c>
      <c r="P494" s="35">
        <f t="shared" si="52"/>
        <v>2.4657534246575343</v>
      </c>
    </row>
    <row r="495" spans="12:16" ht="15" hidden="1" customHeight="1">
      <c r="L495" s="43">
        <f t="shared" si="48"/>
        <v>44996</v>
      </c>
      <c r="M495" s="35">
        <f t="shared" si="49"/>
        <v>0</v>
      </c>
      <c r="N495" s="35">
        <f t="shared" si="50"/>
        <v>30000</v>
      </c>
      <c r="O495" s="35">
        <f t="shared" si="51"/>
        <v>1.2328767123287672</v>
      </c>
      <c r="P495" s="35">
        <f t="shared" si="52"/>
        <v>2.4657534246575343</v>
      </c>
    </row>
    <row r="496" spans="12:16" ht="15" hidden="1" customHeight="1">
      <c r="L496" s="43">
        <f t="shared" si="48"/>
        <v>44997</v>
      </c>
      <c r="M496" s="35">
        <f t="shared" si="49"/>
        <v>0</v>
      </c>
      <c r="N496" s="35">
        <f t="shared" si="50"/>
        <v>30000</v>
      </c>
      <c r="O496" s="35">
        <f t="shared" si="51"/>
        <v>1.2328767123287672</v>
      </c>
      <c r="P496" s="35">
        <f t="shared" si="52"/>
        <v>2.4657534246575343</v>
      </c>
    </row>
    <row r="497" spans="12:16" ht="15" hidden="1" customHeight="1">
      <c r="L497" s="43">
        <f t="shared" si="48"/>
        <v>44998</v>
      </c>
      <c r="M497" s="35">
        <f t="shared" si="49"/>
        <v>0</v>
      </c>
      <c r="N497" s="35">
        <f t="shared" si="50"/>
        <v>30000</v>
      </c>
      <c r="O497" s="35">
        <f t="shared" si="51"/>
        <v>1.2328767123287672</v>
      </c>
      <c r="P497" s="35">
        <f t="shared" si="52"/>
        <v>2.4657534246575343</v>
      </c>
    </row>
    <row r="498" spans="12:16" ht="15" hidden="1" customHeight="1">
      <c r="L498" s="43">
        <f t="shared" si="48"/>
        <v>44999</v>
      </c>
      <c r="M498" s="35">
        <f t="shared" si="49"/>
        <v>0</v>
      </c>
      <c r="N498" s="35">
        <f t="shared" si="50"/>
        <v>30000</v>
      </c>
      <c r="O498" s="35">
        <f t="shared" si="51"/>
        <v>1.2328767123287672</v>
      </c>
      <c r="P498" s="35">
        <f t="shared" si="52"/>
        <v>2.4657534246575343</v>
      </c>
    </row>
    <row r="499" spans="12:16" ht="15" hidden="1" customHeight="1">
      <c r="L499" s="43">
        <f t="shared" si="48"/>
        <v>45000</v>
      </c>
      <c r="M499" s="35">
        <f t="shared" si="49"/>
        <v>0</v>
      </c>
      <c r="N499" s="35">
        <f t="shared" si="50"/>
        <v>30000</v>
      </c>
      <c r="O499" s="35">
        <f t="shared" si="51"/>
        <v>1.2328767123287672</v>
      </c>
      <c r="P499" s="35">
        <f t="shared" si="52"/>
        <v>2.4657534246575343</v>
      </c>
    </row>
    <row r="500" spans="12:16" ht="15" hidden="1" customHeight="1">
      <c r="L500" s="43">
        <f t="shared" si="48"/>
        <v>45001</v>
      </c>
      <c r="M500" s="35">
        <f t="shared" si="49"/>
        <v>0</v>
      </c>
      <c r="N500" s="35">
        <f t="shared" si="50"/>
        <v>30000</v>
      </c>
      <c r="O500" s="35">
        <f t="shared" si="51"/>
        <v>1.2328767123287672</v>
      </c>
      <c r="P500" s="35">
        <f t="shared" si="52"/>
        <v>2.4657534246575343</v>
      </c>
    </row>
    <row r="501" spans="12:16" ht="15" hidden="1" customHeight="1">
      <c r="L501" s="43">
        <f t="shared" si="48"/>
        <v>45002</v>
      </c>
      <c r="M501" s="35">
        <f t="shared" si="49"/>
        <v>0</v>
      </c>
      <c r="N501" s="35">
        <f t="shared" si="50"/>
        <v>30000</v>
      </c>
      <c r="O501" s="35">
        <f t="shared" si="51"/>
        <v>1.2328767123287672</v>
      </c>
      <c r="P501" s="35">
        <f t="shared" si="52"/>
        <v>2.4657534246575343</v>
      </c>
    </row>
    <row r="502" spans="12:16" ht="15" hidden="1" customHeight="1">
      <c r="L502" s="43">
        <f t="shared" si="48"/>
        <v>45003</v>
      </c>
      <c r="M502" s="35">
        <f t="shared" si="49"/>
        <v>0</v>
      </c>
      <c r="N502" s="35">
        <f t="shared" si="50"/>
        <v>30000</v>
      </c>
      <c r="O502" s="35">
        <f t="shared" si="51"/>
        <v>1.2328767123287672</v>
      </c>
      <c r="P502" s="35">
        <f t="shared" si="52"/>
        <v>2.4657534246575343</v>
      </c>
    </row>
    <row r="503" spans="12:16" ht="15" hidden="1" customHeight="1">
      <c r="L503" s="43">
        <f t="shared" si="48"/>
        <v>45004</v>
      </c>
      <c r="M503" s="35">
        <f t="shared" si="49"/>
        <v>0</v>
      </c>
      <c r="N503" s="35">
        <f t="shared" si="50"/>
        <v>30000</v>
      </c>
      <c r="O503" s="35">
        <f t="shared" si="51"/>
        <v>1.2328767123287672</v>
      </c>
      <c r="P503" s="35">
        <f t="shared" si="52"/>
        <v>2.4657534246575343</v>
      </c>
    </row>
    <row r="504" spans="12:16" ht="15" hidden="1" customHeight="1">
      <c r="L504" s="43">
        <f t="shared" si="48"/>
        <v>45005</v>
      </c>
      <c r="M504" s="35">
        <f t="shared" si="49"/>
        <v>0</v>
      </c>
      <c r="N504" s="35">
        <f t="shared" si="50"/>
        <v>30000</v>
      </c>
      <c r="O504" s="35">
        <f t="shared" si="51"/>
        <v>1.2328767123287672</v>
      </c>
      <c r="P504" s="35">
        <f t="shared" si="52"/>
        <v>2.4657534246575343</v>
      </c>
    </row>
    <row r="505" spans="12:16" ht="15" hidden="1" customHeight="1">
      <c r="L505" s="43">
        <f t="shared" si="48"/>
        <v>45006</v>
      </c>
      <c r="M505" s="35">
        <f t="shared" si="49"/>
        <v>0</v>
      </c>
      <c r="N505" s="35">
        <f t="shared" si="50"/>
        <v>30000</v>
      </c>
      <c r="O505" s="35">
        <f t="shared" si="51"/>
        <v>1.2328767123287672</v>
      </c>
      <c r="P505" s="35">
        <f t="shared" si="52"/>
        <v>2.4657534246575343</v>
      </c>
    </row>
    <row r="506" spans="12:16" ht="15" hidden="1" customHeight="1">
      <c r="L506" s="43">
        <f t="shared" si="48"/>
        <v>45007</v>
      </c>
      <c r="M506" s="35">
        <f t="shared" si="49"/>
        <v>0</v>
      </c>
      <c r="N506" s="35">
        <f t="shared" si="50"/>
        <v>30000</v>
      </c>
      <c r="O506" s="35">
        <f t="shared" si="51"/>
        <v>1.2328767123287672</v>
      </c>
      <c r="P506" s="35">
        <f t="shared" si="52"/>
        <v>2.4657534246575343</v>
      </c>
    </row>
    <row r="507" spans="12:16" ht="15" hidden="1" customHeight="1">
      <c r="L507" s="43">
        <f t="shared" si="48"/>
        <v>45008</v>
      </c>
      <c r="M507" s="35">
        <f t="shared" si="49"/>
        <v>0</v>
      </c>
      <c r="N507" s="35">
        <f t="shared" si="50"/>
        <v>30000</v>
      </c>
      <c r="O507" s="35">
        <f t="shared" si="51"/>
        <v>1.2328767123287672</v>
      </c>
      <c r="P507" s="35">
        <f t="shared" si="52"/>
        <v>2.4657534246575343</v>
      </c>
    </row>
    <row r="508" spans="12:16" ht="15" hidden="1" customHeight="1">
      <c r="L508" s="43">
        <f t="shared" si="48"/>
        <v>45009</v>
      </c>
      <c r="M508" s="35">
        <f t="shared" si="49"/>
        <v>0</v>
      </c>
      <c r="N508" s="35">
        <f t="shared" si="50"/>
        <v>30000</v>
      </c>
      <c r="O508" s="35">
        <f t="shared" si="51"/>
        <v>1.2328767123287672</v>
      </c>
      <c r="P508" s="35">
        <f t="shared" si="52"/>
        <v>2.4657534246575343</v>
      </c>
    </row>
    <row r="509" spans="12:16" ht="15" hidden="1" customHeight="1">
      <c r="L509" s="43">
        <f t="shared" si="48"/>
        <v>45010</v>
      </c>
      <c r="M509" s="35">
        <f t="shared" si="49"/>
        <v>0</v>
      </c>
      <c r="N509" s="35">
        <f t="shared" si="50"/>
        <v>30000</v>
      </c>
      <c r="O509" s="35">
        <f t="shared" si="51"/>
        <v>1.2328767123287672</v>
      </c>
      <c r="P509" s="35">
        <f t="shared" si="52"/>
        <v>2.4657534246575343</v>
      </c>
    </row>
    <row r="510" spans="12:16" ht="15" hidden="1" customHeight="1">
      <c r="L510" s="43">
        <f t="shared" si="48"/>
        <v>45011</v>
      </c>
      <c r="M510" s="35">
        <f t="shared" si="49"/>
        <v>0</v>
      </c>
      <c r="N510" s="35">
        <f t="shared" si="50"/>
        <v>30000</v>
      </c>
      <c r="O510" s="35">
        <f t="shared" si="51"/>
        <v>1.2328767123287672</v>
      </c>
      <c r="P510" s="35">
        <f t="shared" si="52"/>
        <v>2.4657534246575343</v>
      </c>
    </row>
    <row r="511" spans="12:16" ht="15" hidden="1" customHeight="1">
      <c r="L511" s="43">
        <f t="shared" si="48"/>
        <v>45012</v>
      </c>
      <c r="M511" s="35">
        <f t="shared" si="49"/>
        <v>0</v>
      </c>
      <c r="N511" s="35">
        <f t="shared" si="50"/>
        <v>30000</v>
      </c>
      <c r="O511" s="35">
        <f t="shared" si="51"/>
        <v>1.2328767123287672</v>
      </c>
      <c r="P511" s="35">
        <f t="shared" si="52"/>
        <v>2.4657534246575343</v>
      </c>
    </row>
    <row r="512" spans="12:16" ht="15" hidden="1" customHeight="1">
      <c r="L512" s="43">
        <f t="shared" si="48"/>
        <v>45013</v>
      </c>
      <c r="M512" s="35">
        <f t="shared" si="49"/>
        <v>0</v>
      </c>
      <c r="N512" s="35">
        <f t="shared" si="50"/>
        <v>30000</v>
      </c>
      <c r="O512" s="35">
        <f t="shared" si="51"/>
        <v>1.2328767123287672</v>
      </c>
      <c r="P512" s="35">
        <f t="shared" si="52"/>
        <v>2.4657534246575343</v>
      </c>
    </row>
    <row r="513" spans="12:16" ht="15" hidden="1" customHeight="1">
      <c r="L513" s="43">
        <f t="shared" si="48"/>
        <v>45014</v>
      </c>
      <c r="M513" s="35">
        <f t="shared" si="49"/>
        <v>0</v>
      </c>
      <c r="N513" s="35">
        <f t="shared" si="50"/>
        <v>30000</v>
      </c>
      <c r="O513" s="35">
        <f t="shared" si="51"/>
        <v>1.2328767123287672</v>
      </c>
      <c r="P513" s="35">
        <f t="shared" si="52"/>
        <v>2.4657534246575343</v>
      </c>
    </row>
    <row r="514" spans="12:16" ht="15" hidden="1" customHeight="1">
      <c r="L514" s="43">
        <f t="shared" si="48"/>
        <v>45015</v>
      </c>
      <c r="M514" s="35">
        <f t="shared" si="49"/>
        <v>0</v>
      </c>
      <c r="N514" s="35">
        <f t="shared" si="50"/>
        <v>30000</v>
      </c>
      <c r="O514" s="35">
        <f t="shared" si="51"/>
        <v>1.2328767123287672</v>
      </c>
      <c r="P514" s="35">
        <f t="shared" si="52"/>
        <v>2.4657534246575343</v>
      </c>
    </row>
    <row r="515" spans="12:16" ht="15" hidden="1" customHeight="1">
      <c r="L515" s="43">
        <f t="shared" si="48"/>
        <v>45016</v>
      </c>
      <c r="M515" s="35">
        <f t="shared" si="49"/>
        <v>0</v>
      </c>
      <c r="N515" s="35">
        <f t="shared" si="50"/>
        <v>30000</v>
      </c>
      <c r="O515" s="35">
        <f t="shared" si="51"/>
        <v>1.2328767123287672</v>
      </c>
      <c r="P515" s="35">
        <f t="shared" si="52"/>
        <v>2.4657534246575343</v>
      </c>
    </row>
    <row r="516" spans="12:16" ht="15" hidden="1" customHeight="1">
      <c r="L516" s="43">
        <f t="shared" si="48"/>
        <v>45017</v>
      </c>
      <c r="M516" s="35">
        <f t="shared" si="49"/>
        <v>0</v>
      </c>
      <c r="N516" s="35">
        <f t="shared" si="50"/>
        <v>30000</v>
      </c>
      <c r="O516" s="35">
        <f t="shared" si="51"/>
        <v>1.2328767123287672</v>
      </c>
      <c r="P516" s="35">
        <f t="shared" si="52"/>
        <v>2.4657534246575343</v>
      </c>
    </row>
    <row r="517" spans="12:16" ht="15" hidden="1" customHeight="1">
      <c r="L517" s="43">
        <f t="shared" si="48"/>
        <v>45018</v>
      </c>
      <c r="M517" s="35">
        <f t="shared" si="49"/>
        <v>0</v>
      </c>
      <c r="N517" s="35">
        <f t="shared" si="50"/>
        <v>30000</v>
      </c>
      <c r="O517" s="35">
        <f t="shared" si="51"/>
        <v>1.2328767123287672</v>
      </c>
      <c r="P517" s="35">
        <f t="shared" si="52"/>
        <v>2.4657534246575343</v>
      </c>
    </row>
    <row r="518" spans="12:16" ht="15" hidden="1" customHeight="1">
      <c r="L518" s="43">
        <f t="shared" si="48"/>
        <v>45019</v>
      </c>
      <c r="M518" s="35">
        <f t="shared" si="49"/>
        <v>0</v>
      </c>
      <c r="N518" s="35">
        <f t="shared" si="50"/>
        <v>30000</v>
      </c>
      <c r="O518" s="35">
        <f t="shared" si="51"/>
        <v>1.2328767123287672</v>
      </c>
      <c r="P518" s="35">
        <f t="shared" si="52"/>
        <v>2.4657534246575343</v>
      </c>
    </row>
    <row r="519" spans="12:16" ht="15" hidden="1" customHeight="1">
      <c r="L519" s="43">
        <f t="shared" si="48"/>
        <v>45020</v>
      </c>
      <c r="M519" s="35">
        <f t="shared" si="49"/>
        <v>0</v>
      </c>
      <c r="N519" s="35">
        <f t="shared" si="50"/>
        <v>30000</v>
      </c>
      <c r="O519" s="35">
        <f t="shared" si="51"/>
        <v>1.2328767123287672</v>
      </c>
      <c r="P519" s="35">
        <f t="shared" si="52"/>
        <v>2.4657534246575343</v>
      </c>
    </row>
    <row r="520" spans="12:16" ht="15" hidden="1" customHeight="1">
      <c r="L520" s="43">
        <f t="shared" si="48"/>
        <v>45021</v>
      </c>
      <c r="M520" s="35">
        <f t="shared" si="49"/>
        <v>0</v>
      </c>
      <c r="N520" s="35">
        <f t="shared" si="50"/>
        <v>30000</v>
      </c>
      <c r="O520" s="35">
        <f t="shared" si="51"/>
        <v>1.2328767123287672</v>
      </c>
      <c r="P520" s="35">
        <f t="shared" si="52"/>
        <v>2.4657534246575343</v>
      </c>
    </row>
    <row r="521" spans="12:16" ht="15" hidden="1" customHeight="1">
      <c r="L521" s="43">
        <f t="shared" si="48"/>
        <v>45022</v>
      </c>
      <c r="M521" s="35">
        <f t="shared" si="49"/>
        <v>0</v>
      </c>
      <c r="N521" s="35">
        <f t="shared" si="50"/>
        <v>30000</v>
      </c>
      <c r="O521" s="35">
        <f t="shared" si="51"/>
        <v>1.2328767123287672</v>
      </c>
      <c r="P521" s="35">
        <f t="shared" si="52"/>
        <v>2.4657534246575343</v>
      </c>
    </row>
    <row r="522" spans="12:16" ht="15" hidden="1" customHeight="1">
      <c r="L522" s="43">
        <f t="shared" si="48"/>
        <v>45023</v>
      </c>
      <c r="M522" s="35">
        <f t="shared" si="49"/>
        <v>0</v>
      </c>
      <c r="N522" s="35">
        <f t="shared" si="50"/>
        <v>30000</v>
      </c>
      <c r="O522" s="35">
        <f t="shared" si="51"/>
        <v>1.2328767123287672</v>
      </c>
      <c r="P522" s="35">
        <f t="shared" si="52"/>
        <v>2.4657534246575343</v>
      </c>
    </row>
    <row r="523" spans="12:16" ht="15" hidden="1" customHeight="1">
      <c r="L523" s="43">
        <f t="shared" si="48"/>
        <v>45024</v>
      </c>
      <c r="M523" s="35">
        <f t="shared" si="49"/>
        <v>0</v>
      </c>
      <c r="N523" s="35">
        <f t="shared" si="50"/>
        <v>30000</v>
      </c>
      <c r="O523" s="35">
        <f t="shared" si="51"/>
        <v>1.2328767123287672</v>
      </c>
      <c r="P523" s="35">
        <f t="shared" si="52"/>
        <v>2.4657534246575343</v>
      </c>
    </row>
    <row r="524" spans="12:16" ht="15" hidden="1" customHeight="1">
      <c r="L524" s="43">
        <f t="shared" si="48"/>
        <v>45025</v>
      </c>
      <c r="M524" s="35">
        <f t="shared" si="49"/>
        <v>0</v>
      </c>
      <c r="N524" s="35">
        <f t="shared" si="50"/>
        <v>30000</v>
      </c>
      <c r="O524" s="35">
        <f t="shared" si="51"/>
        <v>1.2328767123287672</v>
      </c>
      <c r="P524" s="35">
        <f t="shared" si="52"/>
        <v>2.4657534246575343</v>
      </c>
    </row>
    <row r="525" spans="12:16" ht="15" hidden="1" customHeight="1">
      <c r="L525" s="43">
        <f t="shared" si="48"/>
        <v>45026</v>
      </c>
      <c r="M525" s="35">
        <f t="shared" si="49"/>
        <v>0</v>
      </c>
      <c r="N525" s="35">
        <f t="shared" si="50"/>
        <v>30000</v>
      </c>
      <c r="O525" s="35">
        <f t="shared" si="51"/>
        <v>1.2328767123287672</v>
      </c>
      <c r="P525" s="35">
        <f t="shared" si="52"/>
        <v>2.4657534246575343</v>
      </c>
    </row>
    <row r="526" spans="12:16" ht="15" hidden="1" customHeight="1">
      <c r="L526" s="43">
        <f t="shared" si="48"/>
        <v>45027</v>
      </c>
      <c r="M526" s="35">
        <f t="shared" si="49"/>
        <v>0</v>
      </c>
      <c r="N526" s="35">
        <f t="shared" si="50"/>
        <v>30000</v>
      </c>
      <c r="O526" s="35">
        <f t="shared" si="51"/>
        <v>1.2328767123287672</v>
      </c>
      <c r="P526" s="35">
        <f t="shared" si="52"/>
        <v>2.4657534246575343</v>
      </c>
    </row>
    <row r="527" spans="12:16" ht="15" hidden="1" customHeight="1">
      <c r="L527" s="43">
        <f t="shared" si="48"/>
        <v>45028</v>
      </c>
      <c r="M527" s="35">
        <f t="shared" si="49"/>
        <v>0</v>
      </c>
      <c r="N527" s="35">
        <f t="shared" si="50"/>
        <v>30000</v>
      </c>
      <c r="O527" s="35">
        <f t="shared" si="51"/>
        <v>1.2328767123287672</v>
      </c>
      <c r="P527" s="35">
        <f t="shared" si="52"/>
        <v>2.4657534246575343</v>
      </c>
    </row>
    <row r="528" spans="12:16" ht="15" hidden="1" customHeight="1">
      <c r="L528" s="43">
        <f t="shared" si="48"/>
        <v>45029</v>
      </c>
      <c r="M528" s="35">
        <f t="shared" si="49"/>
        <v>0</v>
      </c>
      <c r="N528" s="35">
        <f t="shared" si="50"/>
        <v>30000</v>
      </c>
      <c r="O528" s="35">
        <f t="shared" si="51"/>
        <v>1.2328767123287672</v>
      </c>
      <c r="P528" s="35">
        <f t="shared" si="52"/>
        <v>2.4657534246575343</v>
      </c>
    </row>
    <row r="529" spans="12:16" ht="15" hidden="1" customHeight="1">
      <c r="L529" s="43">
        <f t="shared" si="48"/>
        <v>45030</v>
      </c>
      <c r="M529" s="35">
        <f t="shared" si="49"/>
        <v>0</v>
      </c>
      <c r="N529" s="35">
        <f t="shared" si="50"/>
        <v>30000</v>
      </c>
      <c r="O529" s="35">
        <f t="shared" si="51"/>
        <v>1.2328767123287672</v>
      </c>
      <c r="P529" s="35">
        <f t="shared" si="52"/>
        <v>2.4657534246575343</v>
      </c>
    </row>
    <row r="530" spans="12:16" ht="15" hidden="1" customHeight="1">
      <c r="L530" s="43">
        <f t="shared" si="48"/>
        <v>45031</v>
      </c>
      <c r="M530" s="35">
        <f t="shared" si="49"/>
        <v>0</v>
      </c>
      <c r="N530" s="35">
        <f t="shared" si="50"/>
        <v>30000</v>
      </c>
      <c r="O530" s="35">
        <f t="shared" si="51"/>
        <v>1.2328767123287672</v>
      </c>
      <c r="P530" s="35">
        <f t="shared" si="52"/>
        <v>2.4657534246575343</v>
      </c>
    </row>
    <row r="531" spans="12:16" ht="15" hidden="1" customHeight="1">
      <c r="L531" s="43">
        <f t="shared" si="48"/>
        <v>45032</v>
      </c>
      <c r="M531" s="35">
        <f t="shared" si="49"/>
        <v>0</v>
      </c>
      <c r="N531" s="35">
        <f t="shared" si="50"/>
        <v>30000</v>
      </c>
      <c r="O531" s="35">
        <f t="shared" si="51"/>
        <v>1.2328767123287672</v>
      </c>
      <c r="P531" s="35">
        <f t="shared" si="52"/>
        <v>2.4657534246575343</v>
      </c>
    </row>
    <row r="532" spans="12:16" ht="15" hidden="1" customHeight="1">
      <c r="L532" s="43">
        <f t="shared" si="48"/>
        <v>45033</v>
      </c>
      <c r="M532" s="35">
        <f t="shared" si="49"/>
        <v>0</v>
      </c>
      <c r="N532" s="35">
        <f t="shared" si="50"/>
        <v>30000</v>
      </c>
      <c r="O532" s="35">
        <f t="shared" si="51"/>
        <v>1.2328767123287672</v>
      </c>
      <c r="P532" s="35">
        <f t="shared" si="52"/>
        <v>2.4657534246575343</v>
      </c>
    </row>
    <row r="533" spans="12:16" ht="15" hidden="1" customHeight="1">
      <c r="L533" s="43">
        <f t="shared" si="48"/>
        <v>45034</v>
      </c>
      <c r="M533" s="35">
        <f t="shared" si="49"/>
        <v>0</v>
      </c>
      <c r="N533" s="35">
        <f t="shared" si="50"/>
        <v>30000</v>
      </c>
      <c r="O533" s="35">
        <f t="shared" si="51"/>
        <v>1.2328767123287672</v>
      </c>
      <c r="P533" s="35">
        <f t="shared" si="52"/>
        <v>2.4657534246575343</v>
      </c>
    </row>
    <row r="534" spans="12:16" ht="15" hidden="1" customHeight="1">
      <c r="L534" s="43">
        <f t="shared" si="48"/>
        <v>45035</v>
      </c>
      <c r="M534" s="35">
        <f t="shared" si="49"/>
        <v>0</v>
      </c>
      <c r="N534" s="35">
        <f t="shared" si="50"/>
        <v>30000</v>
      </c>
      <c r="O534" s="35">
        <f t="shared" si="51"/>
        <v>1.2328767123287672</v>
      </c>
      <c r="P534" s="35">
        <f t="shared" si="52"/>
        <v>2.4657534246575343</v>
      </c>
    </row>
    <row r="535" spans="12:16" ht="15" hidden="1" customHeight="1">
      <c r="L535" s="43">
        <f t="shared" si="48"/>
        <v>45036</v>
      </c>
      <c r="M535" s="35">
        <f t="shared" si="49"/>
        <v>0</v>
      </c>
      <c r="N535" s="35">
        <f t="shared" si="50"/>
        <v>30000</v>
      </c>
      <c r="O535" s="35">
        <f t="shared" si="51"/>
        <v>1.2328767123287672</v>
      </c>
      <c r="P535" s="35">
        <f t="shared" si="52"/>
        <v>2.4657534246575343</v>
      </c>
    </row>
    <row r="536" spans="12:16" ht="15" hidden="1" customHeight="1">
      <c r="L536" s="43">
        <f t="shared" si="48"/>
        <v>45037</v>
      </c>
      <c r="M536" s="35">
        <f t="shared" si="49"/>
        <v>0</v>
      </c>
      <c r="N536" s="35">
        <f t="shared" si="50"/>
        <v>30000</v>
      </c>
      <c r="O536" s="35">
        <f t="shared" si="51"/>
        <v>1.2328767123287672</v>
      </c>
      <c r="P536" s="35">
        <f t="shared" si="52"/>
        <v>2.4657534246575343</v>
      </c>
    </row>
    <row r="537" spans="12:16" ht="15" hidden="1" customHeight="1">
      <c r="L537" s="43">
        <f t="shared" si="48"/>
        <v>45038</v>
      </c>
      <c r="M537" s="35">
        <f t="shared" si="49"/>
        <v>0</v>
      </c>
      <c r="N537" s="35">
        <f t="shared" si="50"/>
        <v>30000</v>
      </c>
      <c r="O537" s="35">
        <f t="shared" si="51"/>
        <v>1.2328767123287672</v>
      </c>
      <c r="P537" s="35">
        <f t="shared" si="52"/>
        <v>2.4657534246575343</v>
      </c>
    </row>
    <row r="538" spans="12:16" ht="15" hidden="1" customHeight="1">
      <c r="L538" s="43">
        <f t="shared" si="48"/>
        <v>45039</v>
      </c>
      <c r="M538" s="35">
        <f t="shared" si="49"/>
        <v>0</v>
      </c>
      <c r="N538" s="35">
        <f t="shared" si="50"/>
        <v>30000</v>
      </c>
      <c r="O538" s="35">
        <f t="shared" si="51"/>
        <v>1.2328767123287672</v>
      </c>
      <c r="P538" s="35">
        <f t="shared" si="52"/>
        <v>2.4657534246575343</v>
      </c>
    </row>
    <row r="539" spans="12:16" ht="15" hidden="1" customHeight="1">
      <c r="L539" s="43">
        <f t="shared" si="48"/>
        <v>45040</v>
      </c>
      <c r="M539" s="35">
        <f t="shared" si="49"/>
        <v>0</v>
      </c>
      <c r="N539" s="35">
        <f t="shared" si="50"/>
        <v>30000</v>
      </c>
      <c r="O539" s="35">
        <f t="shared" si="51"/>
        <v>1.2328767123287672</v>
      </c>
      <c r="P539" s="35">
        <f t="shared" si="52"/>
        <v>2.4657534246575343</v>
      </c>
    </row>
    <row r="540" spans="12:16" ht="15" hidden="1" customHeight="1">
      <c r="L540" s="43">
        <f t="shared" si="48"/>
        <v>45041</v>
      </c>
      <c r="M540" s="35">
        <f t="shared" si="49"/>
        <v>0</v>
      </c>
      <c r="N540" s="35">
        <f t="shared" si="50"/>
        <v>30000</v>
      </c>
      <c r="O540" s="35">
        <f t="shared" si="51"/>
        <v>1.2328767123287672</v>
      </c>
      <c r="P540" s="35">
        <f t="shared" si="52"/>
        <v>2.4657534246575343</v>
      </c>
    </row>
    <row r="541" spans="12:16" ht="15" hidden="1" customHeight="1">
      <c r="L541" s="43">
        <f t="shared" si="48"/>
        <v>45042</v>
      </c>
      <c r="M541" s="35">
        <f t="shared" si="49"/>
        <v>0</v>
      </c>
      <c r="N541" s="35">
        <f t="shared" si="50"/>
        <v>30000</v>
      </c>
      <c r="O541" s="35">
        <f t="shared" si="51"/>
        <v>1.2328767123287672</v>
      </c>
      <c r="P541" s="35">
        <f t="shared" si="52"/>
        <v>2.4657534246575343</v>
      </c>
    </row>
    <row r="542" spans="12:16" ht="15" hidden="1" customHeight="1">
      <c r="L542" s="43">
        <f t="shared" si="48"/>
        <v>45043</v>
      </c>
      <c r="M542" s="35">
        <f t="shared" si="49"/>
        <v>0</v>
      </c>
      <c r="N542" s="35">
        <f t="shared" si="50"/>
        <v>30000</v>
      </c>
      <c r="O542" s="35">
        <f t="shared" si="51"/>
        <v>1.2328767123287672</v>
      </c>
      <c r="P542" s="35">
        <f t="shared" si="52"/>
        <v>2.4657534246575343</v>
      </c>
    </row>
    <row r="543" spans="12:16" ht="15" hidden="1" customHeight="1">
      <c r="L543" s="43">
        <f t="shared" ref="L543:L606" si="53">IFERROR(IF(MAX(L542+1,Дата_получения_Займа+1)&gt;Дата_погашения_Займа,"-",MAX(L542+1,Дата_получения_Займа+1)),"-")</f>
        <v>45044</v>
      </c>
      <c r="M543" s="35">
        <f t="shared" ref="M543:M606" si="54">IFERROR(VLOOKUP(L543,$B$31:$E$59,4,FALSE),0)</f>
        <v>0</v>
      </c>
      <c r="N543" s="35">
        <f t="shared" ref="N543:N606" si="55">IF(ISNUMBER(N542),N542-M543,$E$20)</f>
        <v>30000</v>
      </c>
      <c r="O543" s="35">
        <f t="shared" ref="O543:O606" si="56">IFERROR(IF(ISNUMBER(N542),N542,$E$20)*IF(L543&gt;=$J$20,$E$25,$E$24)/IF(MOD(YEAR(L543),4),365,366)*IF(ISBLANK(L542),L543-$E$22,L543-L542),0)</f>
        <v>1.2328767123287672</v>
      </c>
      <c r="P543" s="35">
        <f t="shared" ref="P543:P606" si="57">IFERROR(IF(ISNUMBER(N542),N542,$E$20)*3%/IF(MOD(YEAR(L543),4),365,366)*IF(ISBLANK(L542),(L543-$E$22),L543-L542),0)</f>
        <v>2.4657534246575343</v>
      </c>
    </row>
    <row r="544" spans="12:16" ht="15" hidden="1" customHeight="1">
      <c r="L544" s="43">
        <f t="shared" si="53"/>
        <v>45045</v>
      </c>
      <c r="M544" s="35">
        <f t="shared" si="54"/>
        <v>0</v>
      </c>
      <c r="N544" s="35">
        <f t="shared" si="55"/>
        <v>30000</v>
      </c>
      <c r="O544" s="35">
        <f t="shared" si="56"/>
        <v>1.2328767123287672</v>
      </c>
      <c r="P544" s="35">
        <f t="shared" si="57"/>
        <v>2.4657534246575343</v>
      </c>
    </row>
    <row r="545" spans="12:16" ht="15" hidden="1" customHeight="1">
      <c r="L545" s="43">
        <f t="shared" si="53"/>
        <v>45046</v>
      </c>
      <c r="M545" s="35">
        <f t="shared" si="54"/>
        <v>0</v>
      </c>
      <c r="N545" s="35">
        <f t="shared" si="55"/>
        <v>30000</v>
      </c>
      <c r="O545" s="35">
        <f t="shared" si="56"/>
        <v>1.2328767123287672</v>
      </c>
      <c r="P545" s="35">
        <f t="shared" si="57"/>
        <v>2.4657534246575343</v>
      </c>
    </row>
    <row r="546" spans="12:16" ht="15" hidden="1" customHeight="1">
      <c r="L546" s="43">
        <f t="shared" si="53"/>
        <v>45047</v>
      </c>
      <c r="M546" s="35">
        <f t="shared" si="54"/>
        <v>0</v>
      </c>
      <c r="N546" s="35">
        <f t="shared" si="55"/>
        <v>30000</v>
      </c>
      <c r="O546" s="35">
        <f t="shared" si="56"/>
        <v>1.2328767123287672</v>
      </c>
      <c r="P546" s="35">
        <f t="shared" si="57"/>
        <v>2.4657534246575343</v>
      </c>
    </row>
    <row r="547" spans="12:16" ht="15" hidden="1" customHeight="1">
      <c r="L547" s="43">
        <f t="shared" si="53"/>
        <v>45048</v>
      </c>
      <c r="M547" s="35">
        <f t="shared" si="54"/>
        <v>0</v>
      </c>
      <c r="N547" s="35">
        <f t="shared" si="55"/>
        <v>30000</v>
      </c>
      <c r="O547" s="35">
        <f t="shared" si="56"/>
        <v>1.2328767123287672</v>
      </c>
      <c r="P547" s="35">
        <f t="shared" si="57"/>
        <v>2.4657534246575343</v>
      </c>
    </row>
    <row r="548" spans="12:16" ht="15" hidden="1" customHeight="1">
      <c r="L548" s="43">
        <f t="shared" si="53"/>
        <v>45049</v>
      </c>
      <c r="M548" s="35">
        <f t="shared" si="54"/>
        <v>0</v>
      </c>
      <c r="N548" s="35">
        <f t="shared" si="55"/>
        <v>30000</v>
      </c>
      <c r="O548" s="35">
        <f t="shared" si="56"/>
        <v>1.2328767123287672</v>
      </c>
      <c r="P548" s="35">
        <f t="shared" si="57"/>
        <v>2.4657534246575343</v>
      </c>
    </row>
    <row r="549" spans="12:16" ht="15" hidden="1" customHeight="1">
      <c r="L549" s="43">
        <f t="shared" si="53"/>
        <v>45050</v>
      </c>
      <c r="M549" s="35">
        <f t="shared" si="54"/>
        <v>0</v>
      </c>
      <c r="N549" s="35">
        <f t="shared" si="55"/>
        <v>30000</v>
      </c>
      <c r="O549" s="35">
        <f t="shared" si="56"/>
        <v>1.2328767123287672</v>
      </c>
      <c r="P549" s="35">
        <f t="shared" si="57"/>
        <v>2.4657534246575343</v>
      </c>
    </row>
    <row r="550" spans="12:16" ht="15" hidden="1" customHeight="1">
      <c r="L550" s="43">
        <f t="shared" si="53"/>
        <v>45051</v>
      </c>
      <c r="M550" s="35">
        <f t="shared" si="54"/>
        <v>0</v>
      </c>
      <c r="N550" s="35">
        <f t="shared" si="55"/>
        <v>30000</v>
      </c>
      <c r="O550" s="35">
        <f t="shared" si="56"/>
        <v>1.2328767123287672</v>
      </c>
      <c r="P550" s="35">
        <f t="shared" si="57"/>
        <v>2.4657534246575343</v>
      </c>
    </row>
    <row r="551" spans="12:16" ht="15" hidden="1" customHeight="1">
      <c r="L551" s="43">
        <f t="shared" si="53"/>
        <v>45052</v>
      </c>
      <c r="M551" s="35">
        <f t="shared" si="54"/>
        <v>0</v>
      </c>
      <c r="N551" s="35">
        <f t="shared" si="55"/>
        <v>30000</v>
      </c>
      <c r="O551" s="35">
        <f t="shared" si="56"/>
        <v>1.2328767123287672</v>
      </c>
      <c r="P551" s="35">
        <f t="shared" si="57"/>
        <v>2.4657534246575343</v>
      </c>
    </row>
    <row r="552" spans="12:16" ht="15" hidden="1" customHeight="1">
      <c r="L552" s="43">
        <f t="shared" si="53"/>
        <v>45053</v>
      </c>
      <c r="M552" s="35">
        <f t="shared" si="54"/>
        <v>0</v>
      </c>
      <c r="N552" s="35">
        <f t="shared" si="55"/>
        <v>30000</v>
      </c>
      <c r="O552" s="35">
        <f t="shared" si="56"/>
        <v>1.2328767123287672</v>
      </c>
      <c r="P552" s="35">
        <f t="shared" si="57"/>
        <v>2.4657534246575343</v>
      </c>
    </row>
    <row r="553" spans="12:16" ht="15" hidden="1" customHeight="1">
      <c r="L553" s="43">
        <f t="shared" si="53"/>
        <v>45054</v>
      </c>
      <c r="M553" s="35">
        <f t="shared" si="54"/>
        <v>0</v>
      </c>
      <c r="N553" s="35">
        <f t="shared" si="55"/>
        <v>30000</v>
      </c>
      <c r="O553" s="35">
        <f t="shared" si="56"/>
        <v>1.2328767123287672</v>
      </c>
      <c r="P553" s="35">
        <f t="shared" si="57"/>
        <v>2.4657534246575343</v>
      </c>
    </row>
    <row r="554" spans="12:16" ht="15" hidden="1" customHeight="1">
      <c r="L554" s="43">
        <f t="shared" si="53"/>
        <v>45055</v>
      </c>
      <c r="M554" s="35">
        <f t="shared" si="54"/>
        <v>0</v>
      </c>
      <c r="N554" s="35">
        <f t="shared" si="55"/>
        <v>30000</v>
      </c>
      <c r="O554" s="35">
        <f t="shared" si="56"/>
        <v>1.2328767123287672</v>
      </c>
      <c r="P554" s="35">
        <f t="shared" si="57"/>
        <v>2.4657534246575343</v>
      </c>
    </row>
    <row r="555" spans="12:16" ht="15" hidden="1" customHeight="1">
      <c r="L555" s="43">
        <f t="shared" si="53"/>
        <v>45056</v>
      </c>
      <c r="M555" s="35">
        <f t="shared" si="54"/>
        <v>0</v>
      </c>
      <c r="N555" s="35">
        <f t="shared" si="55"/>
        <v>30000</v>
      </c>
      <c r="O555" s="35">
        <f t="shared" si="56"/>
        <v>1.2328767123287672</v>
      </c>
      <c r="P555" s="35">
        <f t="shared" si="57"/>
        <v>2.4657534246575343</v>
      </c>
    </row>
    <row r="556" spans="12:16" ht="15" hidden="1" customHeight="1">
      <c r="L556" s="43">
        <f t="shared" si="53"/>
        <v>45057</v>
      </c>
      <c r="M556" s="35">
        <f t="shared" si="54"/>
        <v>0</v>
      </c>
      <c r="N556" s="35">
        <f t="shared" si="55"/>
        <v>30000</v>
      </c>
      <c r="O556" s="35">
        <f t="shared" si="56"/>
        <v>1.2328767123287672</v>
      </c>
      <c r="P556" s="35">
        <f t="shared" si="57"/>
        <v>2.4657534246575343</v>
      </c>
    </row>
    <row r="557" spans="12:16" ht="15" hidden="1" customHeight="1">
      <c r="L557" s="43">
        <f t="shared" si="53"/>
        <v>45058</v>
      </c>
      <c r="M557" s="35">
        <f t="shared" si="54"/>
        <v>0</v>
      </c>
      <c r="N557" s="35">
        <f t="shared" si="55"/>
        <v>30000</v>
      </c>
      <c r="O557" s="35">
        <f t="shared" si="56"/>
        <v>1.2328767123287672</v>
      </c>
      <c r="P557" s="35">
        <f t="shared" si="57"/>
        <v>2.4657534246575343</v>
      </c>
    </row>
    <row r="558" spans="12:16" ht="15" hidden="1" customHeight="1">
      <c r="L558" s="43">
        <f t="shared" si="53"/>
        <v>45059</v>
      </c>
      <c r="M558" s="35">
        <f t="shared" si="54"/>
        <v>0</v>
      </c>
      <c r="N558" s="35">
        <f t="shared" si="55"/>
        <v>30000</v>
      </c>
      <c r="O558" s="35">
        <f t="shared" si="56"/>
        <v>1.2328767123287672</v>
      </c>
      <c r="P558" s="35">
        <f t="shared" si="57"/>
        <v>2.4657534246575343</v>
      </c>
    </row>
    <row r="559" spans="12:16" ht="15" hidden="1" customHeight="1">
      <c r="L559" s="43">
        <f t="shared" si="53"/>
        <v>45060</v>
      </c>
      <c r="M559" s="35">
        <f t="shared" si="54"/>
        <v>0</v>
      </c>
      <c r="N559" s="35">
        <f t="shared" si="55"/>
        <v>30000</v>
      </c>
      <c r="O559" s="35">
        <f t="shared" si="56"/>
        <v>1.2328767123287672</v>
      </c>
      <c r="P559" s="35">
        <f t="shared" si="57"/>
        <v>2.4657534246575343</v>
      </c>
    </row>
    <row r="560" spans="12:16" ht="15" hidden="1" customHeight="1">
      <c r="L560" s="43">
        <f t="shared" si="53"/>
        <v>45061</v>
      </c>
      <c r="M560" s="35">
        <f t="shared" si="54"/>
        <v>0</v>
      </c>
      <c r="N560" s="35">
        <f t="shared" si="55"/>
        <v>30000</v>
      </c>
      <c r="O560" s="35">
        <f t="shared" si="56"/>
        <v>1.2328767123287672</v>
      </c>
      <c r="P560" s="35">
        <f t="shared" si="57"/>
        <v>2.4657534246575343</v>
      </c>
    </row>
    <row r="561" spans="12:16" ht="15" hidden="1" customHeight="1">
      <c r="L561" s="43">
        <f t="shared" si="53"/>
        <v>45062</v>
      </c>
      <c r="M561" s="35">
        <f t="shared" si="54"/>
        <v>0</v>
      </c>
      <c r="N561" s="35">
        <f t="shared" si="55"/>
        <v>30000</v>
      </c>
      <c r="O561" s="35">
        <f t="shared" si="56"/>
        <v>1.2328767123287672</v>
      </c>
      <c r="P561" s="35">
        <f t="shared" si="57"/>
        <v>2.4657534246575343</v>
      </c>
    </row>
    <row r="562" spans="12:16" ht="15" hidden="1" customHeight="1">
      <c r="L562" s="43">
        <f t="shared" si="53"/>
        <v>45063</v>
      </c>
      <c r="M562" s="35">
        <f t="shared" si="54"/>
        <v>0</v>
      </c>
      <c r="N562" s="35">
        <f t="shared" si="55"/>
        <v>30000</v>
      </c>
      <c r="O562" s="35">
        <f t="shared" si="56"/>
        <v>1.2328767123287672</v>
      </c>
      <c r="P562" s="35">
        <f t="shared" si="57"/>
        <v>2.4657534246575343</v>
      </c>
    </row>
    <row r="563" spans="12:16" ht="15" hidden="1" customHeight="1">
      <c r="L563" s="43">
        <f t="shared" si="53"/>
        <v>45064</v>
      </c>
      <c r="M563" s="35">
        <f t="shared" si="54"/>
        <v>0</v>
      </c>
      <c r="N563" s="35">
        <f t="shared" si="55"/>
        <v>30000</v>
      </c>
      <c r="O563" s="35">
        <f t="shared" si="56"/>
        <v>1.2328767123287672</v>
      </c>
      <c r="P563" s="35">
        <f t="shared" si="57"/>
        <v>2.4657534246575343</v>
      </c>
    </row>
    <row r="564" spans="12:16" ht="15" hidden="1" customHeight="1">
      <c r="L564" s="43">
        <f t="shared" si="53"/>
        <v>45065</v>
      </c>
      <c r="M564" s="35">
        <f t="shared" si="54"/>
        <v>0</v>
      </c>
      <c r="N564" s="35">
        <f t="shared" si="55"/>
        <v>30000</v>
      </c>
      <c r="O564" s="35">
        <f t="shared" si="56"/>
        <v>1.2328767123287672</v>
      </c>
      <c r="P564" s="35">
        <f t="shared" si="57"/>
        <v>2.4657534246575343</v>
      </c>
    </row>
    <row r="565" spans="12:16" ht="15" hidden="1" customHeight="1">
      <c r="L565" s="43">
        <f t="shared" si="53"/>
        <v>45066</v>
      </c>
      <c r="M565" s="35">
        <f t="shared" si="54"/>
        <v>0</v>
      </c>
      <c r="N565" s="35">
        <f t="shared" si="55"/>
        <v>30000</v>
      </c>
      <c r="O565" s="35">
        <f t="shared" si="56"/>
        <v>1.2328767123287672</v>
      </c>
      <c r="P565" s="35">
        <f t="shared" si="57"/>
        <v>2.4657534246575343</v>
      </c>
    </row>
    <row r="566" spans="12:16" ht="15" hidden="1" customHeight="1">
      <c r="L566" s="43">
        <f t="shared" si="53"/>
        <v>45067</v>
      </c>
      <c r="M566" s="35">
        <f t="shared" si="54"/>
        <v>0</v>
      </c>
      <c r="N566" s="35">
        <f t="shared" si="55"/>
        <v>30000</v>
      </c>
      <c r="O566" s="35">
        <f t="shared" si="56"/>
        <v>1.2328767123287672</v>
      </c>
      <c r="P566" s="35">
        <f t="shared" si="57"/>
        <v>2.4657534246575343</v>
      </c>
    </row>
    <row r="567" spans="12:16" ht="15" hidden="1" customHeight="1">
      <c r="L567" s="43">
        <f t="shared" si="53"/>
        <v>45068</v>
      </c>
      <c r="M567" s="35">
        <f t="shared" si="54"/>
        <v>0</v>
      </c>
      <c r="N567" s="35">
        <f t="shared" si="55"/>
        <v>30000</v>
      </c>
      <c r="O567" s="35">
        <f t="shared" si="56"/>
        <v>1.2328767123287672</v>
      </c>
      <c r="P567" s="35">
        <f t="shared" si="57"/>
        <v>2.4657534246575343</v>
      </c>
    </row>
    <row r="568" spans="12:16" ht="15" hidden="1" customHeight="1">
      <c r="L568" s="43">
        <f t="shared" si="53"/>
        <v>45069</v>
      </c>
      <c r="M568" s="35">
        <f t="shared" si="54"/>
        <v>0</v>
      </c>
      <c r="N568" s="35">
        <f t="shared" si="55"/>
        <v>30000</v>
      </c>
      <c r="O568" s="35">
        <f t="shared" si="56"/>
        <v>1.2328767123287672</v>
      </c>
      <c r="P568" s="35">
        <f t="shared" si="57"/>
        <v>2.4657534246575343</v>
      </c>
    </row>
    <row r="569" spans="12:16" ht="15" hidden="1" customHeight="1">
      <c r="L569" s="43">
        <f t="shared" si="53"/>
        <v>45070</v>
      </c>
      <c r="M569" s="35">
        <f t="shared" si="54"/>
        <v>0</v>
      </c>
      <c r="N569" s="35">
        <f t="shared" si="55"/>
        <v>30000</v>
      </c>
      <c r="O569" s="35">
        <f t="shared" si="56"/>
        <v>1.2328767123287672</v>
      </c>
      <c r="P569" s="35">
        <f t="shared" si="57"/>
        <v>2.4657534246575343</v>
      </c>
    </row>
    <row r="570" spans="12:16" ht="15" hidden="1" customHeight="1">
      <c r="L570" s="43">
        <f t="shared" si="53"/>
        <v>45071</v>
      </c>
      <c r="M570" s="35">
        <f t="shared" si="54"/>
        <v>0</v>
      </c>
      <c r="N570" s="35">
        <f t="shared" si="55"/>
        <v>30000</v>
      </c>
      <c r="O570" s="35">
        <f t="shared" si="56"/>
        <v>1.2328767123287672</v>
      </c>
      <c r="P570" s="35">
        <f t="shared" si="57"/>
        <v>2.4657534246575343</v>
      </c>
    </row>
    <row r="571" spans="12:16" ht="15" hidden="1" customHeight="1">
      <c r="L571" s="43">
        <f t="shared" si="53"/>
        <v>45072</v>
      </c>
      <c r="M571" s="35">
        <f t="shared" si="54"/>
        <v>0</v>
      </c>
      <c r="N571" s="35">
        <f t="shared" si="55"/>
        <v>30000</v>
      </c>
      <c r="O571" s="35">
        <f t="shared" si="56"/>
        <v>1.2328767123287672</v>
      </c>
      <c r="P571" s="35">
        <f t="shared" si="57"/>
        <v>2.4657534246575343</v>
      </c>
    </row>
    <row r="572" spans="12:16" ht="15" hidden="1" customHeight="1">
      <c r="L572" s="43">
        <f t="shared" si="53"/>
        <v>45073</v>
      </c>
      <c r="M572" s="35">
        <f t="shared" si="54"/>
        <v>0</v>
      </c>
      <c r="N572" s="35">
        <f t="shared" si="55"/>
        <v>30000</v>
      </c>
      <c r="O572" s="35">
        <f t="shared" si="56"/>
        <v>1.2328767123287672</v>
      </c>
      <c r="P572" s="35">
        <f t="shared" si="57"/>
        <v>2.4657534246575343</v>
      </c>
    </row>
    <row r="573" spans="12:16" ht="15" hidden="1" customHeight="1">
      <c r="L573" s="43">
        <f t="shared" si="53"/>
        <v>45074</v>
      </c>
      <c r="M573" s="35">
        <f t="shared" si="54"/>
        <v>0</v>
      </c>
      <c r="N573" s="35">
        <f t="shared" si="55"/>
        <v>30000</v>
      </c>
      <c r="O573" s="35">
        <f t="shared" si="56"/>
        <v>1.2328767123287672</v>
      </c>
      <c r="P573" s="35">
        <f t="shared" si="57"/>
        <v>2.4657534246575343</v>
      </c>
    </row>
    <row r="574" spans="12:16" ht="15" hidden="1" customHeight="1">
      <c r="L574" s="43">
        <f t="shared" si="53"/>
        <v>45075</v>
      </c>
      <c r="M574" s="35">
        <f t="shared" si="54"/>
        <v>0</v>
      </c>
      <c r="N574" s="35">
        <f t="shared" si="55"/>
        <v>30000</v>
      </c>
      <c r="O574" s="35">
        <f t="shared" si="56"/>
        <v>1.2328767123287672</v>
      </c>
      <c r="P574" s="35">
        <f t="shared" si="57"/>
        <v>2.4657534246575343</v>
      </c>
    </row>
    <row r="575" spans="12:16" ht="15" hidden="1" customHeight="1">
      <c r="L575" s="43">
        <f t="shared" si="53"/>
        <v>45076</v>
      </c>
      <c r="M575" s="35">
        <f t="shared" si="54"/>
        <v>0</v>
      </c>
      <c r="N575" s="35">
        <f t="shared" si="55"/>
        <v>30000</v>
      </c>
      <c r="O575" s="35">
        <f t="shared" si="56"/>
        <v>1.2328767123287672</v>
      </c>
      <c r="P575" s="35">
        <f t="shared" si="57"/>
        <v>2.4657534246575343</v>
      </c>
    </row>
    <row r="576" spans="12:16" ht="15" hidden="1" customHeight="1">
      <c r="L576" s="43">
        <f t="shared" si="53"/>
        <v>45077</v>
      </c>
      <c r="M576" s="35">
        <f t="shared" si="54"/>
        <v>0</v>
      </c>
      <c r="N576" s="35">
        <f t="shared" si="55"/>
        <v>30000</v>
      </c>
      <c r="O576" s="35">
        <f t="shared" si="56"/>
        <v>1.2328767123287672</v>
      </c>
      <c r="P576" s="35">
        <f t="shared" si="57"/>
        <v>2.4657534246575343</v>
      </c>
    </row>
    <row r="577" spans="12:16" ht="15" hidden="1" customHeight="1">
      <c r="L577" s="43">
        <f t="shared" si="53"/>
        <v>45078</v>
      </c>
      <c r="M577" s="35">
        <f t="shared" si="54"/>
        <v>0</v>
      </c>
      <c r="N577" s="35">
        <f t="shared" si="55"/>
        <v>30000</v>
      </c>
      <c r="O577" s="35">
        <f t="shared" si="56"/>
        <v>1.2328767123287672</v>
      </c>
      <c r="P577" s="35">
        <f t="shared" si="57"/>
        <v>2.4657534246575343</v>
      </c>
    </row>
    <row r="578" spans="12:16" ht="15" hidden="1" customHeight="1">
      <c r="L578" s="43">
        <f t="shared" si="53"/>
        <v>45079</v>
      </c>
      <c r="M578" s="35">
        <f t="shared" si="54"/>
        <v>0</v>
      </c>
      <c r="N578" s="35">
        <f t="shared" si="55"/>
        <v>30000</v>
      </c>
      <c r="O578" s="35">
        <f t="shared" si="56"/>
        <v>1.2328767123287672</v>
      </c>
      <c r="P578" s="35">
        <f t="shared" si="57"/>
        <v>2.4657534246575343</v>
      </c>
    </row>
    <row r="579" spans="12:16" ht="15" hidden="1" customHeight="1">
      <c r="L579" s="43">
        <f t="shared" si="53"/>
        <v>45080</v>
      </c>
      <c r="M579" s="35">
        <f t="shared" si="54"/>
        <v>0</v>
      </c>
      <c r="N579" s="35">
        <f t="shared" si="55"/>
        <v>30000</v>
      </c>
      <c r="O579" s="35">
        <f t="shared" si="56"/>
        <v>1.2328767123287672</v>
      </c>
      <c r="P579" s="35">
        <f t="shared" si="57"/>
        <v>2.4657534246575343</v>
      </c>
    </row>
    <row r="580" spans="12:16" ht="15" hidden="1" customHeight="1">
      <c r="L580" s="43">
        <f t="shared" si="53"/>
        <v>45081</v>
      </c>
      <c r="M580" s="35">
        <f t="shared" si="54"/>
        <v>0</v>
      </c>
      <c r="N580" s="35">
        <f t="shared" si="55"/>
        <v>30000</v>
      </c>
      <c r="O580" s="35">
        <f t="shared" si="56"/>
        <v>1.2328767123287672</v>
      </c>
      <c r="P580" s="35">
        <f t="shared" si="57"/>
        <v>2.4657534246575343</v>
      </c>
    </row>
    <row r="581" spans="12:16" ht="15" hidden="1" customHeight="1">
      <c r="L581" s="43">
        <f t="shared" si="53"/>
        <v>45082</v>
      </c>
      <c r="M581" s="35">
        <f t="shared" si="54"/>
        <v>0</v>
      </c>
      <c r="N581" s="35">
        <f t="shared" si="55"/>
        <v>30000</v>
      </c>
      <c r="O581" s="35">
        <f t="shared" si="56"/>
        <v>1.2328767123287672</v>
      </c>
      <c r="P581" s="35">
        <f t="shared" si="57"/>
        <v>2.4657534246575343</v>
      </c>
    </row>
    <row r="582" spans="12:16" ht="15" hidden="1" customHeight="1">
      <c r="L582" s="43">
        <f t="shared" si="53"/>
        <v>45083</v>
      </c>
      <c r="M582" s="35">
        <f t="shared" si="54"/>
        <v>0</v>
      </c>
      <c r="N582" s="35">
        <f t="shared" si="55"/>
        <v>30000</v>
      </c>
      <c r="O582" s="35">
        <f t="shared" si="56"/>
        <v>1.2328767123287672</v>
      </c>
      <c r="P582" s="35">
        <f t="shared" si="57"/>
        <v>2.4657534246575343</v>
      </c>
    </row>
    <row r="583" spans="12:16" ht="15" hidden="1" customHeight="1">
      <c r="L583" s="43">
        <f t="shared" si="53"/>
        <v>45084</v>
      </c>
      <c r="M583" s="35">
        <f t="shared" si="54"/>
        <v>0</v>
      </c>
      <c r="N583" s="35">
        <f t="shared" si="55"/>
        <v>30000</v>
      </c>
      <c r="O583" s="35">
        <f t="shared" si="56"/>
        <v>1.2328767123287672</v>
      </c>
      <c r="P583" s="35">
        <f t="shared" si="57"/>
        <v>2.4657534246575343</v>
      </c>
    </row>
    <row r="584" spans="12:16" ht="15" hidden="1" customHeight="1">
      <c r="L584" s="43">
        <f t="shared" si="53"/>
        <v>45085</v>
      </c>
      <c r="M584" s="35">
        <f t="shared" si="54"/>
        <v>0</v>
      </c>
      <c r="N584" s="35">
        <f t="shared" si="55"/>
        <v>30000</v>
      </c>
      <c r="O584" s="35">
        <f t="shared" si="56"/>
        <v>1.2328767123287672</v>
      </c>
      <c r="P584" s="35">
        <f t="shared" si="57"/>
        <v>2.4657534246575343</v>
      </c>
    </row>
    <row r="585" spans="12:16" ht="15" hidden="1" customHeight="1">
      <c r="L585" s="43">
        <f t="shared" si="53"/>
        <v>45086</v>
      </c>
      <c r="M585" s="35">
        <f t="shared" si="54"/>
        <v>0</v>
      </c>
      <c r="N585" s="35">
        <f t="shared" si="55"/>
        <v>30000</v>
      </c>
      <c r="O585" s="35">
        <f t="shared" si="56"/>
        <v>1.2328767123287672</v>
      </c>
      <c r="P585" s="35">
        <f t="shared" si="57"/>
        <v>2.4657534246575343</v>
      </c>
    </row>
    <row r="586" spans="12:16" ht="15" hidden="1" customHeight="1">
      <c r="L586" s="43">
        <f t="shared" si="53"/>
        <v>45087</v>
      </c>
      <c r="M586" s="35">
        <f t="shared" si="54"/>
        <v>0</v>
      </c>
      <c r="N586" s="35">
        <f t="shared" si="55"/>
        <v>30000</v>
      </c>
      <c r="O586" s="35">
        <f t="shared" si="56"/>
        <v>1.2328767123287672</v>
      </c>
      <c r="P586" s="35">
        <f t="shared" si="57"/>
        <v>2.4657534246575343</v>
      </c>
    </row>
    <row r="587" spans="12:16" ht="15" hidden="1" customHeight="1">
      <c r="L587" s="43">
        <f t="shared" si="53"/>
        <v>45088</v>
      </c>
      <c r="M587" s="35">
        <f t="shared" si="54"/>
        <v>0</v>
      </c>
      <c r="N587" s="35">
        <f t="shared" si="55"/>
        <v>30000</v>
      </c>
      <c r="O587" s="35">
        <f t="shared" si="56"/>
        <v>1.2328767123287672</v>
      </c>
      <c r="P587" s="35">
        <f t="shared" si="57"/>
        <v>2.4657534246575343</v>
      </c>
    </row>
    <row r="588" spans="12:16" ht="15" hidden="1" customHeight="1">
      <c r="L588" s="43">
        <f t="shared" si="53"/>
        <v>45089</v>
      </c>
      <c r="M588" s="35">
        <f t="shared" si="54"/>
        <v>0</v>
      </c>
      <c r="N588" s="35">
        <f t="shared" si="55"/>
        <v>30000</v>
      </c>
      <c r="O588" s="35">
        <f t="shared" si="56"/>
        <v>1.2328767123287672</v>
      </c>
      <c r="P588" s="35">
        <f t="shared" si="57"/>
        <v>2.4657534246575343</v>
      </c>
    </row>
    <row r="589" spans="12:16" ht="15" hidden="1" customHeight="1">
      <c r="L589" s="43">
        <f t="shared" si="53"/>
        <v>45090</v>
      </c>
      <c r="M589" s="35">
        <f t="shared" si="54"/>
        <v>0</v>
      </c>
      <c r="N589" s="35">
        <f t="shared" si="55"/>
        <v>30000</v>
      </c>
      <c r="O589" s="35">
        <f t="shared" si="56"/>
        <v>1.2328767123287672</v>
      </c>
      <c r="P589" s="35">
        <f t="shared" si="57"/>
        <v>2.4657534246575343</v>
      </c>
    </row>
    <row r="590" spans="12:16" ht="15" hidden="1" customHeight="1">
      <c r="L590" s="43">
        <f t="shared" si="53"/>
        <v>45091</v>
      </c>
      <c r="M590" s="35">
        <f t="shared" si="54"/>
        <v>0</v>
      </c>
      <c r="N590" s="35">
        <f t="shared" si="55"/>
        <v>30000</v>
      </c>
      <c r="O590" s="35">
        <f t="shared" si="56"/>
        <v>1.2328767123287672</v>
      </c>
      <c r="P590" s="35">
        <f t="shared" si="57"/>
        <v>2.4657534246575343</v>
      </c>
    </row>
    <row r="591" spans="12:16" ht="15" hidden="1" customHeight="1">
      <c r="L591" s="43">
        <f t="shared" si="53"/>
        <v>45092</v>
      </c>
      <c r="M591" s="35">
        <f t="shared" si="54"/>
        <v>0</v>
      </c>
      <c r="N591" s="35">
        <f t="shared" si="55"/>
        <v>30000</v>
      </c>
      <c r="O591" s="35">
        <f t="shared" si="56"/>
        <v>1.2328767123287672</v>
      </c>
      <c r="P591" s="35">
        <f t="shared" si="57"/>
        <v>2.4657534246575343</v>
      </c>
    </row>
    <row r="592" spans="12:16" ht="15" hidden="1" customHeight="1">
      <c r="L592" s="43">
        <f t="shared" si="53"/>
        <v>45093</v>
      </c>
      <c r="M592" s="35">
        <f t="shared" si="54"/>
        <v>0</v>
      </c>
      <c r="N592" s="35">
        <f t="shared" si="55"/>
        <v>30000</v>
      </c>
      <c r="O592" s="35">
        <f t="shared" si="56"/>
        <v>1.2328767123287672</v>
      </c>
      <c r="P592" s="35">
        <f t="shared" si="57"/>
        <v>2.4657534246575343</v>
      </c>
    </row>
    <row r="593" spans="12:16" ht="15" hidden="1" customHeight="1">
      <c r="L593" s="43">
        <f t="shared" si="53"/>
        <v>45094</v>
      </c>
      <c r="M593" s="35">
        <f t="shared" si="54"/>
        <v>0</v>
      </c>
      <c r="N593" s="35">
        <f t="shared" si="55"/>
        <v>30000</v>
      </c>
      <c r="O593" s="35">
        <f t="shared" si="56"/>
        <v>1.2328767123287672</v>
      </c>
      <c r="P593" s="35">
        <f t="shared" si="57"/>
        <v>2.4657534246575343</v>
      </c>
    </row>
    <row r="594" spans="12:16" ht="15" hidden="1" customHeight="1">
      <c r="L594" s="43">
        <f t="shared" si="53"/>
        <v>45095</v>
      </c>
      <c r="M594" s="35">
        <f t="shared" si="54"/>
        <v>0</v>
      </c>
      <c r="N594" s="35">
        <f t="shared" si="55"/>
        <v>30000</v>
      </c>
      <c r="O594" s="35">
        <f t="shared" si="56"/>
        <v>1.2328767123287672</v>
      </c>
      <c r="P594" s="35">
        <f t="shared" si="57"/>
        <v>2.4657534246575343</v>
      </c>
    </row>
    <row r="595" spans="12:16" ht="15" hidden="1" customHeight="1">
      <c r="L595" s="43">
        <f t="shared" si="53"/>
        <v>45096</v>
      </c>
      <c r="M595" s="35">
        <f t="shared" si="54"/>
        <v>0</v>
      </c>
      <c r="N595" s="35">
        <f t="shared" si="55"/>
        <v>30000</v>
      </c>
      <c r="O595" s="35">
        <f t="shared" si="56"/>
        <v>1.2328767123287672</v>
      </c>
      <c r="P595" s="35">
        <f t="shared" si="57"/>
        <v>2.4657534246575343</v>
      </c>
    </row>
    <row r="596" spans="12:16" ht="15" hidden="1" customHeight="1">
      <c r="L596" s="43">
        <f t="shared" si="53"/>
        <v>45097</v>
      </c>
      <c r="M596" s="35">
        <f t="shared" si="54"/>
        <v>0</v>
      </c>
      <c r="N596" s="35">
        <f t="shared" si="55"/>
        <v>30000</v>
      </c>
      <c r="O596" s="35">
        <f t="shared" si="56"/>
        <v>1.2328767123287672</v>
      </c>
      <c r="P596" s="35">
        <f t="shared" si="57"/>
        <v>2.4657534246575343</v>
      </c>
    </row>
    <row r="597" spans="12:16" ht="15" hidden="1" customHeight="1">
      <c r="L597" s="43">
        <f t="shared" si="53"/>
        <v>45098</v>
      </c>
      <c r="M597" s="35">
        <f t="shared" si="54"/>
        <v>0</v>
      </c>
      <c r="N597" s="35">
        <f t="shared" si="55"/>
        <v>30000</v>
      </c>
      <c r="O597" s="35">
        <f t="shared" si="56"/>
        <v>1.2328767123287672</v>
      </c>
      <c r="P597" s="35">
        <f t="shared" si="57"/>
        <v>2.4657534246575343</v>
      </c>
    </row>
    <row r="598" spans="12:16" ht="15" hidden="1" customHeight="1">
      <c r="L598" s="43">
        <f t="shared" si="53"/>
        <v>45099</v>
      </c>
      <c r="M598" s="35">
        <f t="shared" si="54"/>
        <v>0</v>
      </c>
      <c r="N598" s="35">
        <f t="shared" si="55"/>
        <v>30000</v>
      </c>
      <c r="O598" s="35">
        <f t="shared" si="56"/>
        <v>1.2328767123287672</v>
      </c>
      <c r="P598" s="35">
        <f t="shared" si="57"/>
        <v>2.4657534246575343</v>
      </c>
    </row>
    <row r="599" spans="12:16" ht="15" hidden="1" customHeight="1">
      <c r="L599" s="43">
        <f t="shared" si="53"/>
        <v>45100</v>
      </c>
      <c r="M599" s="35">
        <f t="shared" si="54"/>
        <v>0</v>
      </c>
      <c r="N599" s="35">
        <f t="shared" si="55"/>
        <v>30000</v>
      </c>
      <c r="O599" s="35">
        <f t="shared" si="56"/>
        <v>1.2328767123287672</v>
      </c>
      <c r="P599" s="35">
        <f t="shared" si="57"/>
        <v>2.4657534246575343</v>
      </c>
    </row>
    <row r="600" spans="12:16" ht="15" hidden="1" customHeight="1">
      <c r="L600" s="43">
        <f t="shared" si="53"/>
        <v>45101</v>
      </c>
      <c r="M600" s="35">
        <f t="shared" si="54"/>
        <v>0</v>
      </c>
      <c r="N600" s="35">
        <f t="shared" si="55"/>
        <v>30000</v>
      </c>
      <c r="O600" s="35">
        <f t="shared" si="56"/>
        <v>1.2328767123287672</v>
      </c>
      <c r="P600" s="35">
        <f t="shared" si="57"/>
        <v>2.4657534246575343</v>
      </c>
    </row>
    <row r="601" spans="12:16" ht="15" hidden="1" customHeight="1">
      <c r="L601" s="43">
        <f t="shared" si="53"/>
        <v>45102</v>
      </c>
      <c r="M601" s="35">
        <f t="shared" si="54"/>
        <v>0</v>
      </c>
      <c r="N601" s="35">
        <f t="shared" si="55"/>
        <v>30000</v>
      </c>
      <c r="O601" s="35">
        <f t="shared" si="56"/>
        <v>1.2328767123287672</v>
      </c>
      <c r="P601" s="35">
        <f t="shared" si="57"/>
        <v>2.4657534246575343</v>
      </c>
    </row>
    <row r="602" spans="12:16" ht="15" hidden="1" customHeight="1">
      <c r="L602" s="43">
        <f t="shared" si="53"/>
        <v>45103</v>
      </c>
      <c r="M602" s="35">
        <f t="shared" si="54"/>
        <v>0</v>
      </c>
      <c r="N602" s="35">
        <f t="shared" si="55"/>
        <v>30000</v>
      </c>
      <c r="O602" s="35">
        <f t="shared" si="56"/>
        <v>1.2328767123287672</v>
      </c>
      <c r="P602" s="35">
        <f t="shared" si="57"/>
        <v>2.4657534246575343</v>
      </c>
    </row>
    <row r="603" spans="12:16" ht="15" hidden="1" customHeight="1">
      <c r="L603" s="43">
        <f t="shared" si="53"/>
        <v>45104</v>
      </c>
      <c r="M603" s="35">
        <f t="shared" si="54"/>
        <v>0</v>
      </c>
      <c r="N603" s="35">
        <f t="shared" si="55"/>
        <v>30000</v>
      </c>
      <c r="O603" s="35">
        <f t="shared" si="56"/>
        <v>1.2328767123287672</v>
      </c>
      <c r="P603" s="35">
        <f t="shared" si="57"/>
        <v>2.4657534246575343</v>
      </c>
    </row>
    <row r="604" spans="12:16" ht="15" hidden="1" customHeight="1">
      <c r="L604" s="43">
        <f t="shared" si="53"/>
        <v>45105</v>
      </c>
      <c r="M604" s="35">
        <f t="shared" si="54"/>
        <v>0</v>
      </c>
      <c r="N604" s="35">
        <f t="shared" si="55"/>
        <v>30000</v>
      </c>
      <c r="O604" s="35">
        <f t="shared" si="56"/>
        <v>1.2328767123287672</v>
      </c>
      <c r="P604" s="35">
        <f t="shared" si="57"/>
        <v>2.4657534246575343</v>
      </c>
    </row>
    <row r="605" spans="12:16" ht="15" hidden="1" customHeight="1">
      <c r="L605" s="43">
        <f t="shared" si="53"/>
        <v>45106</v>
      </c>
      <c r="M605" s="35">
        <f t="shared" si="54"/>
        <v>0</v>
      </c>
      <c r="N605" s="35">
        <f t="shared" si="55"/>
        <v>30000</v>
      </c>
      <c r="O605" s="35">
        <f t="shared" si="56"/>
        <v>1.2328767123287672</v>
      </c>
      <c r="P605" s="35">
        <f t="shared" si="57"/>
        <v>2.4657534246575343</v>
      </c>
    </row>
    <row r="606" spans="12:16" ht="15" hidden="1" customHeight="1">
      <c r="L606" s="43">
        <f t="shared" si="53"/>
        <v>45107</v>
      </c>
      <c r="M606" s="35">
        <f t="shared" si="54"/>
        <v>0</v>
      </c>
      <c r="N606" s="35">
        <f t="shared" si="55"/>
        <v>30000</v>
      </c>
      <c r="O606" s="35">
        <f t="shared" si="56"/>
        <v>1.2328767123287672</v>
      </c>
      <c r="P606" s="35">
        <f t="shared" si="57"/>
        <v>2.4657534246575343</v>
      </c>
    </row>
    <row r="607" spans="12:16" ht="15" hidden="1" customHeight="1">
      <c r="L607" s="43">
        <f t="shared" ref="L607:L670" si="58">IFERROR(IF(MAX(L606+1,Дата_получения_Займа+1)&gt;Дата_погашения_Займа,"-",MAX(L606+1,Дата_получения_Займа+1)),"-")</f>
        <v>45108</v>
      </c>
      <c r="M607" s="35">
        <f t="shared" ref="M607:M670" si="59">IFERROR(VLOOKUP(L607,$B$31:$E$59,4,FALSE),0)</f>
        <v>0</v>
      </c>
      <c r="N607" s="35">
        <f t="shared" ref="N607:N670" si="60">IF(ISNUMBER(N606),N606-M607,$E$20)</f>
        <v>30000</v>
      </c>
      <c r="O607" s="35">
        <f t="shared" ref="O607:O670" si="61">IFERROR(IF(ISNUMBER(N606),N606,$E$20)*IF(L607&gt;=$J$20,$E$25,$E$24)/IF(MOD(YEAR(L607),4),365,366)*IF(ISBLANK(L606),L607-$E$22,L607-L606),0)</f>
        <v>1.2328767123287672</v>
      </c>
      <c r="P607" s="35">
        <f t="shared" ref="P607:P670" si="62">IFERROR(IF(ISNUMBER(N606),N606,$E$20)*3%/IF(MOD(YEAR(L607),4),365,366)*IF(ISBLANK(L606),(L607-$E$22),L607-L606),0)</f>
        <v>2.4657534246575343</v>
      </c>
    </row>
    <row r="608" spans="12:16" ht="15" hidden="1" customHeight="1">
      <c r="L608" s="43">
        <f t="shared" si="58"/>
        <v>45109</v>
      </c>
      <c r="M608" s="35">
        <f t="shared" si="59"/>
        <v>0</v>
      </c>
      <c r="N608" s="35">
        <f t="shared" si="60"/>
        <v>30000</v>
      </c>
      <c r="O608" s="35">
        <f t="shared" si="61"/>
        <v>1.2328767123287672</v>
      </c>
      <c r="P608" s="35">
        <f t="shared" si="62"/>
        <v>2.4657534246575343</v>
      </c>
    </row>
    <row r="609" spans="12:16" ht="15" hidden="1" customHeight="1">
      <c r="L609" s="43">
        <f t="shared" si="58"/>
        <v>45110</v>
      </c>
      <c r="M609" s="35">
        <f t="shared" si="59"/>
        <v>0</v>
      </c>
      <c r="N609" s="35">
        <f t="shared" si="60"/>
        <v>30000</v>
      </c>
      <c r="O609" s="35">
        <f t="shared" si="61"/>
        <v>1.2328767123287672</v>
      </c>
      <c r="P609" s="35">
        <f t="shared" si="62"/>
        <v>2.4657534246575343</v>
      </c>
    </row>
    <row r="610" spans="12:16" ht="15" hidden="1" customHeight="1">
      <c r="L610" s="43">
        <f t="shared" si="58"/>
        <v>45111</v>
      </c>
      <c r="M610" s="35">
        <f t="shared" si="59"/>
        <v>0</v>
      </c>
      <c r="N610" s="35">
        <f t="shared" si="60"/>
        <v>30000</v>
      </c>
      <c r="O610" s="35">
        <f t="shared" si="61"/>
        <v>1.2328767123287672</v>
      </c>
      <c r="P610" s="35">
        <f t="shared" si="62"/>
        <v>2.4657534246575343</v>
      </c>
    </row>
    <row r="611" spans="12:16" ht="15" hidden="1" customHeight="1">
      <c r="L611" s="43">
        <f t="shared" si="58"/>
        <v>45112</v>
      </c>
      <c r="M611" s="35">
        <f t="shared" si="59"/>
        <v>0</v>
      </c>
      <c r="N611" s="35">
        <f t="shared" si="60"/>
        <v>30000</v>
      </c>
      <c r="O611" s="35">
        <f t="shared" si="61"/>
        <v>1.2328767123287672</v>
      </c>
      <c r="P611" s="35">
        <f t="shared" si="62"/>
        <v>2.4657534246575343</v>
      </c>
    </row>
    <row r="612" spans="12:16" ht="15" hidden="1" customHeight="1">
      <c r="L612" s="43">
        <f t="shared" si="58"/>
        <v>45113</v>
      </c>
      <c r="M612" s="35">
        <f t="shared" si="59"/>
        <v>0</v>
      </c>
      <c r="N612" s="35">
        <f t="shared" si="60"/>
        <v>30000</v>
      </c>
      <c r="O612" s="35">
        <f t="shared" si="61"/>
        <v>1.2328767123287672</v>
      </c>
      <c r="P612" s="35">
        <f t="shared" si="62"/>
        <v>2.4657534246575343</v>
      </c>
    </row>
    <row r="613" spans="12:16" ht="15" hidden="1" customHeight="1">
      <c r="L613" s="43">
        <f t="shared" si="58"/>
        <v>45114</v>
      </c>
      <c r="M613" s="35">
        <f t="shared" si="59"/>
        <v>0</v>
      </c>
      <c r="N613" s="35">
        <f t="shared" si="60"/>
        <v>30000</v>
      </c>
      <c r="O613" s="35">
        <f t="shared" si="61"/>
        <v>1.2328767123287672</v>
      </c>
      <c r="P613" s="35">
        <f t="shared" si="62"/>
        <v>2.4657534246575343</v>
      </c>
    </row>
    <row r="614" spans="12:16" ht="15" hidden="1" customHeight="1">
      <c r="L614" s="43">
        <f t="shared" si="58"/>
        <v>45115</v>
      </c>
      <c r="M614" s="35">
        <f t="shared" si="59"/>
        <v>0</v>
      </c>
      <c r="N614" s="35">
        <f t="shared" si="60"/>
        <v>30000</v>
      </c>
      <c r="O614" s="35">
        <f t="shared" si="61"/>
        <v>1.2328767123287672</v>
      </c>
      <c r="P614" s="35">
        <f t="shared" si="62"/>
        <v>2.4657534246575343</v>
      </c>
    </row>
    <row r="615" spans="12:16" ht="15" hidden="1" customHeight="1">
      <c r="L615" s="43">
        <f t="shared" si="58"/>
        <v>45116</v>
      </c>
      <c r="M615" s="35">
        <f t="shared" si="59"/>
        <v>0</v>
      </c>
      <c r="N615" s="35">
        <f t="shared" si="60"/>
        <v>30000</v>
      </c>
      <c r="O615" s="35">
        <f t="shared" si="61"/>
        <v>1.2328767123287672</v>
      </c>
      <c r="P615" s="35">
        <f t="shared" si="62"/>
        <v>2.4657534246575343</v>
      </c>
    </row>
    <row r="616" spans="12:16" ht="15" hidden="1" customHeight="1">
      <c r="L616" s="43">
        <f t="shared" si="58"/>
        <v>45117</v>
      </c>
      <c r="M616" s="35">
        <f t="shared" si="59"/>
        <v>0</v>
      </c>
      <c r="N616" s="35">
        <f t="shared" si="60"/>
        <v>30000</v>
      </c>
      <c r="O616" s="35">
        <f t="shared" si="61"/>
        <v>1.2328767123287672</v>
      </c>
      <c r="P616" s="35">
        <f t="shared" si="62"/>
        <v>2.4657534246575343</v>
      </c>
    </row>
    <row r="617" spans="12:16" ht="15" hidden="1" customHeight="1">
      <c r="L617" s="43">
        <f t="shared" si="58"/>
        <v>45118</v>
      </c>
      <c r="M617" s="35">
        <f t="shared" si="59"/>
        <v>0</v>
      </c>
      <c r="N617" s="35">
        <f t="shared" si="60"/>
        <v>30000</v>
      </c>
      <c r="O617" s="35">
        <f t="shared" si="61"/>
        <v>1.2328767123287672</v>
      </c>
      <c r="P617" s="35">
        <f t="shared" si="62"/>
        <v>2.4657534246575343</v>
      </c>
    </row>
    <row r="618" spans="12:16" ht="15" hidden="1" customHeight="1">
      <c r="L618" s="43">
        <f t="shared" si="58"/>
        <v>45119</v>
      </c>
      <c r="M618" s="35">
        <f t="shared" si="59"/>
        <v>0</v>
      </c>
      <c r="N618" s="35">
        <f t="shared" si="60"/>
        <v>30000</v>
      </c>
      <c r="O618" s="35">
        <f t="shared" si="61"/>
        <v>1.2328767123287672</v>
      </c>
      <c r="P618" s="35">
        <f t="shared" si="62"/>
        <v>2.4657534246575343</v>
      </c>
    </row>
    <row r="619" spans="12:16" ht="15" hidden="1" customHeight="1">
      <c r="L619" s="43">
        <f t="shared" si="58"/>
        <v>45120</v>
      </c>
      <c r="M619" s="35">
        <f t="shared" si="59"/>
        <v>0</v>
      </c>
      <c r="N619" s="35">
        <f t="shared" si="60"/>
        <v>30000</v>
      </c>
      <c r="O619" s="35">
        <f t="shared" si="61"/>
        <v>1.2328767123287672</v>
      </c>
      <c r="P619" s="35">
        <f t="shared" si="62"/>
        <v>2.4657534246575343</v>
      </c>
    </row>
    <row r="620" spans="12:16" ht="15" hidden="1" customHeight="1">
      <c r="L620" s="43">
        <f t="shared" si="58"/>
        <v>45121</v>
      </c>
      <c r="M620" s="35">
        <f t="shared" si="59"/>
        <v>0</v>
      </c>
      <c r="N620" s="35">
        <f t="shared" si="60"/>
        <v>30000</v>
      </c>
      <c r="O620" s="35">
        <f t="shared" si="61"/>
        <v>1.2328767123287672</v>
      </c>
      <c r="P620" s="35">
        <f t="shared" si="62"/>
        <v>2.4657534246575343</v>
      </c>
    </row>
    <row r="621" spans="12:16" ht="15" hidden="1" customHeight="1">
      <c r="L621" s="43">
        <f t="shared" si="58"/>
        <v>45122</v>
      </c>
      <c r="M621" s="35">
        <f t="shared" si="59"/>
        <v>0</v>
      </c>
      <c r="N621" s="35">
        <f t="shared" si="60"/>
        <v>30000</v>
      </c>
      <c r="O621" s="35">
        <f t="shared" si="61"/>
        <v>1.2328767123287672</v>
      </c>
      <c r="P621" s="35">
        <f t="shared" si="62"/>
        <v>2.4657534246575343</v>
      </c>
    </row>
    <row r="622" spans="12:16" ht="15" hidden="1" customHeight="1">
      <c r="L622" s="43">
        <f t="shared" si="58"/>
        <v>45123</v>
      </c>
      <c r="M622" s="35">
        <f t="shared" si="59"/>
        <v>0</v>
      </c>
      <c r="N622" s="35">
        <f t="shared" si="60"/>
        <v>30000</v>
      </c>
      <c r="O622" s="35">
        <f t="shared" si="61"/>
        <v>1.2328767123287672</v>
      </c>
      <c r="P622" s="35">
        <f t="shared" si="62"/>
        <v>2.4657534246575343</v>
      </c>
    </row>
    <row r="623" spans="12:16" ht="15" hidden="1" customHeight="1">
      <c r="L623" s="43">
        <f t="shared" si="58"/>
        <v>45124</v>
      </c>
      <c r="M623" s="35">
        <f t="shared" si="59"/>
        <v>0</v>
      </c>
      <c r="N623" s="35">
        <f t="shared" si="60"/>
        <v>30000</v>
      </c>
      <c r="O623" s="35">
        <f t="shared" si="61"/>
        <v>1.2328767123287672</v>
      </c>
      <c r="P623" s="35">
        <f t="shared" si="62"/>
        <v>2.4657534246575343</v>
      </c>
    </row>
    <row r="624" spans="12:16" ht="15" hidden="1" customHeight="1">
      <c r="L624" s="43">
        <f t="shared" si="58"/>
        <v>45125</v>
      </c>
      <c r="M624" s="35">
        <f t="shared" si="59"/>
        <v>0</v>
      </c>
      <c r="N624" s="35">
        <f t="shared" si="60"/>
        <v>30000</v>
      </c>
      <c r="O624" s="35">
        <f t="shared" si="61"/>
        <v>1.2328767123287672</v>
      </c>
      <c r="P624" s="35">
        <f t="shared" si="62"/>
        <v>2.4657534246575343</v>
      </c>
    </row>
    <row r="625" spans="12:16" ht="15" hidden="1" customHeight="1">
      <c r="L625" s="43">
        <f t="shared" si="58"/>
        <v>45126</v>
      </c>
      <c r="M625" s="35">
        <f t="shared" si="59"/>
        <v>0</v>
      </c>
      <c r="N625" s="35">
        <f t="shared" si="60"/>
        <v>30000</v>
      </c>
      <c r="O625" s="35">
        <f t="shared" si="61"/>
        <v>1.2328767123287672</v>
      </c>
      <c r="P625" s="35">
        <f t="shared" si="62"/>
        <v>2.4657534246575343</v>
      </c>
    </row>
    <row r="626" spans="12:16" ht="15" hidden="1" customHeight="1">
      <c r="L626" s="43">
        <f t="shared" si="58"/>
        <v>45127</v>
      </c>
      <c r="M626" s="35">
        <f t="shared" si="59"/>
        <v>0</v>
      </c>
      <c r="N626" s="35">
        <f t="shared" si="60"/>
        <v>30000</v>
      </c>
      <c r="O626" s="35">
        <f t="shared" si="61"/>
        <v>1.2328767123287672</v>
      </c>
      <c r="P626" s="35">
        <f t="shared" si="62"/>
        <v>2.4657534246575343</v>
      </c>
    </row>
    <row r="627" spans="12:16" ht="15" hidden="1" customHeight="1">
      <c r="L627" s="43">
        <f t="shared" si="58"/>
        <v>45128</v>
      </c>
      <c r="M627" s="35">
        <f t="shared" si="59"/>
        <v>0</v>
      </c>
      <c r="N627" s="35">
        <f t="shared" si="60"/>
        <v>30000</v>
      </c>
      <c r="O627" s="35">
        <f t="shared" si="61"/>
        <v>1.2328767123287672</v>
      </c>
      <c r="P627" s="35">
        <f t="shared" si="62"/>
        <v>2.4657534246575343</v>
      </c>
    </row>
    <row r="628" spans="12:16" ht="15" hidden="1" customHeight="1">
      <c r="L628" s="43">
        <f t="shared" si="58"/>
        <v>45129</v>
      </c>
      <c r="M628" s="35">
        <f t="shared" si="59"/>
        <v>0</v>
      </c>
      <c r="N628" s="35">
        <f t="shared" si="60"/>
        <v>30000</v>
      </c>
      <c r="O628" s="35">
        <f t="shared" si="61"/>
        <v>1.2328767123287672</v>
      </c>
      <c r="P628" s="35">
        <f t="shared" si="62"/>
        <v>2.4657534246575343</v>
      </c>
    </row>
    <row r="629" spans="12:16" ht="15" hidden="1" customHeight="1">
      <c r="L629" s="43">
        <f t="shared" si="58"/>
        <v>45130</v>
      </c>
      <c r="M629" s="35">
        <f t="shared" si="59"/>
        <v>0</v>
      </c>
      <c r="N629" s="35">
        <f t="shared" si="60"/>
        <v>30000</v>
      </c>
      <c r="O629" s="35">
        <f t="shared" si="61"/>
        <v>1.2328767123287672</v>
      </c>
      <c r="P629" s="35">
        <f t="shared" si="62"/>
        <v>2.4657534246575343</v>
      </c>
    </row>
    <row r="630" spans="12:16" ht="15" hidden="1" customHeight="1">
      <c r="L630" s="43">
        <f t="shared" si="58"/>
        <v>45131</v>
      </c>
      <c r="M630" s="35">
        <f t="shared" si="59"/>
        <v>0</v>
      </c>
      <c r="N630" s="35">
        <f t="shared" si="60"/>
        <v>30000</v>
      </c>
      <c r="O630" s="35">
        <f t="shared" si="61"/>
        <v>1.2328767123287672</v>
      </c>
      <c r="P630" s="35">
        <f t="shared" si="62"/>
        <v>2.4657534246575343</v>
      </c>
    </row>
    <row r="631" spans="12:16" ht="15" hidden="1" customHeight="1">
      <c r="L631" s="43">
        <f t="shared" si="58"/>
        <v>45132</v>
      </c>
      <c r="M631" s="35">
        <f t="shared" si="59"/>
        <v>0</v>
      </c>
      <c r="N631" s="35">
        <f t="shared" si="60"/>
        <v>30000</v>
      </c>
      <c r="O631" s="35">
        <f t="shared" si="61"/>
        <v>1.2328767123287672</v>
      </c>
      <c r="P631" s="35">
        <f t="shared" si="62"/>
        <v>2.4657534246575343</v>
      </c>
    </row>
    <row r="632" spans="12:16" ht="15" hidden="1" customHeight="1">
      <c r="L632" s="43">
        <f t="shared" si="58"/>
        <v>45133</v>
      </c>
      <c r="M632" s="35">
        <f t="shared" si="59"/>
        <v>0</v>
      </c>
      <c r="N632" s="35">
        <f t="shared" si="60"/>
        <v>30000</v>
      </c>
      <c r="O632" s="35">
        <f t="shared" si="61"/>
        <v>1.2328767123287672</v>
      </c>
      <c r="P632" s="35">
        <f t="shared" si="62"/>
        <v>2.4657534246575343</v>
      </c>
    </row>
    <row r="633" spans="12:16" ht="15" hidden="1" customHeight="1">
      <c r="L633" s="43">
        <f t="shared" si="58"/>
        <v>45134</v>
      </c>
      <c r="M633" s="35">
        <f t="shared" si="59"/>
        <v>0</v>
      </c>
      <c r="N633" s="35">
        <f t="shared" si="60"/>
        <v>30000</v>
      </c>
      <c r="O633" s="35">
        <f t="shared" si="61"/>
        <v>1.2328767123287672</v>
      </c>
      <c r="P633" s="35">
        <f t="shared" si="62"/>
        <v>2.4657534246575343</v>
      </c>
    </row>
    <row r="634" spans="12:16" ht="15" hidden="1" customHeight="1">
      <c r="L634" s="43">
        <f t="shared" si="58"/>
        <v>45135</v>
      </c>
      <c r="M634" s="35">
        <f t="shared" si="59"/>
        <v>0</v>
      </c>
      <c r="N634" s="35">
        <f t="shared" si="60"/>
        <v>30000</v>
      </c>
      <c r="O634" s="35">
        <f t="shared" si="61"/>
        <v>1.2328767123287672</v>
      </c>
      <c r="P634" s="35">
        <f t="shared" si="62"/>
        <v>2.4657534246575343</v>
      </c>
    </row>
    <row r="635" spans="12:16" ht="15" hidden="1" customHeight="1">
      <c r="L635" s="43">
        <f t="shared" si="58"/>
        <v>45136</v>
      </c>
      <c r="M635" s="35">
        <f t="shared" si="59"/>
        <v>0</v>
      </c>
      <c r="N635" s="35">
        <f t="shared" si="60"/>
        <v>30000</v>
      </c>
      <c r="O635" s="35">
        <f t="shared" si="61"/>
        <v>1.2328767123287672</v>
      </c>
      <c r="P635" s="35">
        <f t="shared" si="62"/>
        <v>2.4657534246575343</v>
      </c>
    </row>
    <row r="636" spans="12:16" ht="15" hidden="1" customHeight="1">
      <c r="L636" s="43">
        <f t="shared" si="58"/>
        <v>45137</v>
      </c>
      <c r="M636" s="35">
        <f t="shared" si="59"/>
        <v>0</v>
      </c>
      <c r="N636" s="35">
        <f t="shared" si="60"/>
        <v>30000</v>
      </c>
      <c r="O636" s="35">
        <f t="shared" si="61"/>
        <v>1.2328767123287672</v>
      </c>
      <c r="P636" s="35">
        <f t="shared" si="62"/>
        <v>2.4657534246575343</v>
      </c>
    </row>
    <row r="637" spans="12:16" ht="15" hidden="1" customHeight="1">
      <c r="L637" s="43">
        <f t="shared" si="58"/>
        <v>45138</v>
      </c>
      <c r="M637" s="35">
        <f t="shared" si="59"/>
        <v>0</v>
      </c>
      <c r="N637" s="35">
        <f t="shared" si="60"/>
        <v>30000</v>
      </c>
      <c r="O637" s="35">
        <f t="shared" si="61"/>
        <v>1.2328767123287672</v>
      </c>
      <c r="P637" s="35">
        <f t="shared" si="62"/>
        <v>2.4657534246575343</v>
      </c>
    </row>
    <row r="638" spans="12:16" ht="15" hidden="1" customHeight="1">
      <c r="L638" s="43">
        <f t="shared" si="58"/>
        <v>45139</v>
      </c>
      <c r="M638" s="35">
        <f t="shared" si="59"/>
        <v>0</v>
      </c>
      <c r="N638" s="35">
        <f t="shared" si="60"/>
        <v>30000</v>
      </c>
      <c r="O638" s="35">
        <f t="shared" si="61"/>
        <v>1.2328767123287672</v>
      </c>
      <c r="P638" s="35">
        <f t="shared" si="62"/>
        <v>2.4657534246575343</v>
      </c>
    </row>
    <row r="639" spans="12:16" ht="15" hidden="1" customHeight="1">
      <c r="L639" s="43">
        <f t="shared" si="58"/>
        <v>45140</v>
      </c>
      <c r="M639" s="35">
        <f t="shared" si="59"/>
        <v>0</v>
      </c>
      <c r="N639" s="35">
        <f t="shared" si="60"/>
        <v>30000</v>
      </c>
      <c r="O639" s="35">
        <f t="shared" si="61"/>
        <v>1.2328767123287672</v>
      </c>
      <c r="P639" s="35">
        <f t="shared" si="62"/>
        <v>2.4657534246575343</v>
      </c>
    </row>
    <row r="640" spans="12:16" ht="15" hidden="1" customHeight="1">
      <c r="L640" s="43">
        <f t="shared" si="58"/>
        <v>45141</v>
      </c>
      <c r="M640" s="35">
        <f t="shared" si="59"/>
        <v>0</v>
      </c>
      <c r="N640" s="35">
        <f t="shared" si="60"/>
        <v>30000</v>
      </c>
      <c r="O640" s="35">
        <f t="shared" si="61"/>
        <v>1.2328767123287672</v>
      </c>
      <c r="P640" s="35">
        <f t="shared" si="62"/>
        <v>2.4657534246575343</v>
      </c>
    </row>
    <row r="641" spans="12:16" ht="15" hidden="1" customHeight="1">
      <c r="L641" s="43">
        <f t="shared" si="58"/>
        <v>45142</v>
      </c>
      <c r="M641" s="35">
        <f t="shared" si="59"/>
        <v>0</v>
      </c>
      <c r="N641" s="35">
        <f t="shared" si="60"/>
        <v>30000</v>
      </c>
      <c r="O641" s="35">
        <f t="shared" si="61"/>
        <v>1.2328767123287672</v>
      </c>
      <c r="P641" s="35">
        <f t="shared" si="62"/>
        <v>2.4657534246575343</v>
      </c>
    </row>
    <row r="642" spans="12:16" ht="15" hidden="1" customHeight="1">
      <c r="L642" s="43">
        <f t="shared" si="58"/>
        <v>45143</v>
      </c>
      <c r="M642" s="35">
        <f t="shared" si="59"/>
        <v>0</v>
      </c>
      <c r="N642" s="35">
        <f t="shared" si="60"/>
        <v>30000</v>
      </c>
      <c r="O642" s="35">
        <f t="shared" si="61"/>
        <v>1.2328767123287672</v>
      </c>
      <c r="P642" s="35">
        <f t="shared" si="62"/>
        <v>2.4657534246575343</v>
      </c>
    </row>
    <row r="643" spans="12:16" ht="15" hidden="1" customHeight="1">
      <c r="L643" s="43">
        <f t="shared" si="58"/>
        <v>45144</v>
      </c>
      <c r="M643" s="35">
        <f t="shared" si="59"/>
        <v>0</v>
      </c>
      <c r="N643" s="35">
        <f t="shared" si="60"/>
        <v>30000</v>
      </c>
      <c r="O643" s="35">
        <f t="shared" si="61"/>
        <v>1.2328767123287672</v>
      </c>
      <c r="P643" s="35">
        <f t="shared" si="62"/>
        <v>2.4657534246575343</v>
      </c>
    </row>
    <row r="644" spans="12:16" ht="15" hidden="1" customHeight="1">
      <c r="L644" s="43">
        <f t="shared" si="58"/>
        <v>45145</v>
      </c>
      <c r="M644" s="35">
        <f t="shared" si="59"/>
        <v>0</v>
      </c>
      <c r="N644" s="35">
        <f t="shared" si="60"/>
        <v>30000</v>
      </c>
      <c r="O644" s="35">
        <f t="shared" si="61"/>
        <v>1.2328767123287672</v>
      </c>
      <c r="P644" s="35">
        <f t="shared" si="62"/>
        <v>2.4657534246575343</v>
      </c>
    </row>
    <row r="645" spans="12:16" ht="15" hidden="1" customHeight="1">
      <c r="L645" s="43">
        <f t="shared" si="58"/>
        <v>45146</v>
      </c>
      <c r="M645" s="35">
        <f t="shared" si="59"/>
        <v>0</v>
      </c>
      <c r="N645" s="35">
        <f t="shared" si="60"/>
        <v>30000</v>
      </c>
      <c r="O645" s="35">
        <f t="shared" si="61"/>
        <v>1.2328767123287672</v>
      </c>
      <c r="P645" s="35">
        <f t="shared" si="62"/>
        <v>2.4657534246575343</v>
      </c>
    </row>
    <row r="646" spans="12:16" ht="15" hidden="1" customHeight="1">
      <c r="L646" s="43">
        <f t="shared" si="58"/>
        <v>45147</v>
      </c>
      <c r="M646" s="35">
        <f t="shared" si="59"/>
        <v>0</v>
      </c>
      <c r="N646" s="35">
        <f t="shared" si="60"/>
        <v>30000</v>
      </c>
      <c r="O646" s="35">
        <f t="shared" si="61"/>
        <v>1.2328767123287672</v>
      </c>
      <c r="P646" s="35">
        <f t="shared" si="62"/>
        <v>2.4657534246575343</v>
      </c>
    </row>
    <row r="647" spans="12:16" ht="15" hidden="1" customHeight="1">
      <c r="L647" s="43">
        <f t="shared" si="58"/>
        <v>45148</v>
      </c>
      <c r="M647" s="35">
        <f t="shared" si="59"/>
        <v>0</v>
      </c>
      <c r="N647" s="35">
        <f t="shared" si="60"/>
        <v>30000</v>
      </c>
      <c r="O647" s="35">
        <f t="shared" si="61"/>
        <v>1.2328767123287672</v>
      </c>
      <c r="P647" s="35">
        <f t="shared" si="62"/>
        <v>2.4657534246575343</v>
      </c>
    </row>
    <row r="648" spans="12:16" ht="15" hidden="1" customHeight="1">
      <c r="L648" s="43">
        <f t="shared" si="58"/>
        <v>45149</v>
      </c>
      <c r="M648" s="35">
        <f t="shared" si="59"/>
        <v>0</v>
      </c>
      <c r="N648" s="35">
        <f t="shared" si="60"/>
        <v>30000</v>
      </c>
      <c r="O648" s="35">
        <f t="shared" si="61"/>
        <v>1.2328767123287672</v>
      </c>
      <c r="P648" s="35">
        <f t="shared" si="62"/>
        <v>2.4657534246575343</v>
      </c>
    </row>
    <row r="649" spans="12:16" ht="15" hidden="1" customHeight="1">
      <c r="L649" s="43">
        <f t="shared" si="58"/>
        <v>45150</v>
      </c>
      <c r="M649" s="35">
        <f t="shared" si="59"/>
        <v>0</v>
      </c>
      <c r="N649" s="35">
        <f t="shared" si="60"/>
        <v>30000</v>
      </c>
      <c r="O649" s="35">
        <f t="shared" si="61"/>
        <v>1.2328767123287672</v>
      </c>
      <c r="P649" s="35">
        <f t="shared" si="62"/>
        <v>2.4657534246575343</v>
      </c>
    </row>
    <row r="650" spans="12:16" ht="15" hidden="1" customHeight="1">
      <c r="L650" s="43">
        <f t="shared" si="58"/>
        <v>45151</v>
      </c>
      <c r="M650" s="35">
        <f t="shared" si="59"/>
        <v>0</v>
      </c>
      <c r="N650" s="35">
        <f t="shared" si="60"/>
        <v>30000</v>
      </c>
      <c r="O650" s="35">
        <f t="shared" si="61"/>
        <v>1.2328767123287672</v>
      </c>
      <c r="P650" s="35">
        <f t="shared" si="62"/>
        <v>2.4657534246575343</v>
      </c>
    </row>
    <row r="651" spans="12:16" ht="15" hidden="1" customHeight="1">
      <c r="L651" s="43">
        <f t="shared" si="58"/>
        <v>45152</v>
      </c>
      <c r="M651" s="35">
        <f t="shared" si="59"/>
        <v>0</v>
      </c>
      <c r="N651" s="35">
        <f t="shared" si="60"/>
        <v>30000</v>
      </c>
      <c r="O651" s="35">
        <f t="shared" si="61"/>
        <v>1.2328767123287672</v>
      </c>
      <c r="P651" s="35">
        <f t="shared" si="62"/>
        <v>2.4657534246575343</v>
      </c>
    </row>
    <row r="652" spans="12:16" ht="15" hidden="1" customHeight="1">
      <c r="L652" s="43">
        <f t="shared" si="58"/>
        <v>45153</v>
      </c>
      <c r="M652" s="35">
        <f t="shared" si="59"/>
        <v>0</v>
      </c>
      <c r="N652" s="35">
        <f t="shared" si="60"/>
        <v>30000</v>
      </c>
      <c r="O652" s="35">
        <f t="shared" si="61"/>
        <v>1.2328767123287672</v>
      </c>
      <c r="P652" s="35">
        <f t="shared" si="62"/>
        <v>2.4657534246575343</v>
      </c>
    </row>
    <row r="653" spans="12:16" ht="15" hidden="1" customHeight="1">
      <c r="L653" s="43">
        <f t="shared" si="58"/>
        <v>45154</v>
      </c>
      <c r="M653" s="35">
        <f t="shared" si="59"/>
        <v>0</v>
      </c>
      <c r="N653" s="35">
        <f t="shared" si="60"/>
        <v>30000</v>
      </c>
      <c r="O653" s="35">
        <f t="shared" si="61"/>
        <v>1.2328767123287672</v>
      </c>
      <c r="P653" s="35">
        <f t="shared" si="62"/>
        <v>2.4657534246575343</v>
      </c>
    </row>
    <row r="654" spans="12:16" ht="15" hidden="1" customHeight="1">
      <c r="L654" s="43">
        <f t="shared" si="58"/>
        <v>45155</v>
      </c>
      <c r="M654" s="35">
        <f t="shared" si="59"/>
        <v>0</v>
      </c>
      <c r="N654" s="35">
        <f t="shared" si="60"/>
        <v>30000</v>
      </c>
      <c r="O654" s="35">
        <f t="shared" si="61"/>
        <v>1.2328767123287672</v>
      </c>
      <c r="P654" s="35">
        <f t="shared" si="62"/>
        <v>2.4657534246575343</v>
      </c>
    </row>
    <row r="655" spans="12:16" ht="15" hidden="1" customHeight="1">
      <c r="L655" s="43">
        <f t="shared" si="58"/>
        <v>45156</v>
      </c>
      <c r="M655" s="35">
        <f t="shared" si="59"/>
        <v>0</v>
      </c>
      <c r="N655" s="35">
        <f t="shared" si="60"/>
        <v>30000</v>
      </c>
      <c r="O655" s="35">
        <f t="shared" si="61"/>
        <v>1.2328767123287672</v>
      </c>
      <c r="P655" s="35">
        <f t="shared" si="62"/>
        <v>2.4657534246575343</v>
      </c>
    </row>
    <row r="656" spans="12:16" ht="15" hidden="1" customHeight="1">
      <c r="L656" s="43">
        <f t="shared" si="58"/>
        <v>45157</v>
      </c>
      <c r="M656" s="35">
        <f t="shared" si="59"/>
        <v>0</v>
      </c>
      <c r="N656" s="35">
        <f t="shared" si="60"/>
        <v>30000</v>
      </c>
      <c r="O656" s="35">
        <f t="shared" si="61"/>
        <v>1.2328767123287672</v>
      </c>
      <c r="P656" s="35">
        <f t="shared" si="62"/>
        <v>2.4657534246575343</v>
      </c>
    </row>
    <row r="657" spans="12:16" ht="15" hidden="1" customHeight="1">
      <c r="L657" s="43">
        <f t="shared" si="58"/>
        <v>45158</v>
      </c>
      <c r="M657" s="35">
        <f t="shared" si="59"/>
        <v>0</v>
      </c>
      <c r="N657" s="35">
        <f t="shared" si="60"/>
        <v>30000</v>
      </c>
      <c r="O657" s="35">
        <f t="shared" si="61"/>
        <v>1.2328767123287672</v>
      </c>
      <c r="P657" s="35">
        <f t="shared" si="62"/>
        <v>2.4657534246575343</v>
      </c>
    </row>
    <row r="658" spans="12:16" ht="15" hidden="1" customHeight="1">
      <c r="L658" s="43">
        <f t="shared" si="58"/>
        <v>45159</v>
      </c>
      <c r="M658" s="35">
        <f t="shared" si="59"/>
        <v>0</v>
      </c>
      <c r="N658" s="35">
        <f t="shared" si="60"/>
        <v>30000</v>
      </c>
      <c r="O658" s="35">
        <f t="shared" si="61"/>
        <v>1.2328767123287672</v>
      </c>
      <c r="P658" s="35">
        <f t="shared" si="62"/>
        <v>2.4657534246575343</v>
      </c>
    </row>
    <row r="659" spans="12:16" ht="15" hidden="1" customHeight="1">
      <c r="L659" s="43">
        <f t="shared" si="58"/>
        <v>45160</v>
      </c>
      <c r="M659" s="35">
        <f t="shared" si="59"/>
        <v>0</v>
      </c>
      <c r="N659" s="35">
        <f t="shared" si="60"/>
        <v>30000</v>
      </c>
      <c r="O659" s="35">
        <f t="shared" si="61"/>
        <v>1.2328767123287672</v>
      </c>
      <c r="P659" s="35">
        <f t="shared" si="62"/>
        <v>2.4657534246575343</v>
      </c>
    </row>
    <row r="660" spans="12:16" ht="15" hidden="1" customHeight="1">
      <c r="L660" s="43">
        <f t="shared" si="58"/>
        <v>45161</v>
      </c>
      <c r="M660" s="35">
        <f t="shared" si="59"/>
        <v>0</v>
      </c>
      <c r="N660" s="35">
        <f t="shared" si="60"/>
        <v>30000</v>
      </c>
      <c r="O660" s="35">
        <f t="shared" si="61"/>
        <v>1.2328767123287672</v>
      </c>
      <c r="P660" s="35">
        <f t="shared" si="62"/>
        <v>2.4657534246575343</v>
      </c>
    </row>
    <row r="661" spans="12:16" ht="15" hidden="1" customHeight="1">
      <c r="L661" s="43">
        <f t="shared" si="58"/>
        <v>45162</v>
      </c>
      <c r="M661" s="35">
        <f t="shared" si="59"/>
        <v>0</v>
      </c>
      <c r="N661" s="35">
        <f t="shared" si="60"/>
        <v>30000</v>
      </c>
      <c r="O661" s="35">
        <f t="shared" si="61"/>
        <v>1.2328767123287672</v>
      </c>
      <c r="P661" s="35">
        <f t="shared" si="62"/>
        <v>2.4657534246575343</v>
      </c>
    </row>
    <row r="662" spans="12:16" ht="15" hidden="1" customHeight="1">
      <c r="L662" s="43">
        <f t="shared" si="58"/>
        <v>45163</v>
      </c>
      <c r="M662" s="35">
        <f t="shared" si="59"/>
        <v>0</v>
      </c>
      <c r="N662" s="35">
        <f t="shared" si="60"/>
        <v>30000</v>
      </c>
      <c r="O662" s="35">
        <f t="shared" si="61"/>
        <v>1.2328767123287672</v>
      </c>
      <c r="P662" s="35">
        <f t="shared" si="62"/>
        <v>2.4657534246575343</v>
      </c>
    </row>
    <row r="663" spans="12:16" ht="15" hidden="1" customHeight="1">
      <c r="L663" s="43">
        <f t="shared" si="58"/>
        <v>45164</v>
      </c>
      <c r="M663" s="35">
        <f t="shared" si="59"/>
        <v>0</v>
      </c>
      <c r="N663" s="35">
        <f t="shared" si="60"/>
        <v>30000</v>
      </c>
      <c r="O663" s="35">
        <f t="shared" si="61"/>
        <v>1.2328767123287672</v>
      </c>
      <c r="P663" s="35">
        <f t="shared" si="62"/>
        <v>2.4657534246575343</v>
      </c>
    </row>
    <row r="664" spans="12:16" ht="15" hidden="1" customHeight="1">
      <c r="L664" s="43">
        <f t="shared" si="58"/>
        <v>45165</v>
      </c>
      <c r="M664" s="35">
        <f t="shared" si="59"/>
        <v>0</v>
      </c>
      <c r="N664" s="35">
        <f t="shared" si="60"/>
        <v>30000</v>
      </c>
      <c r="O664" s="35">
        <f t="shared" si="61"/>
        <v>1.2328767123287672</v>
      </c>
      <c r="P664" s="35">
        <f t="shared" si="62"/>
        <v>2.4657534246575343</v>
      </c>
    </row>
    <row r="665" spans="12:16" ht="15" hidden="1" customHeight="1">
      <c r="L665" s="43">
        <f t="shared" si="58"/>
        <v>45166</v>
      </c>
      <c r="M665" s="35">
        <f t="shared" si="59"/>
        <v>0</v>
      </c>
      <c r="N665" s="35">
        <f t="shared" si="60"/>
        <v>30000</v>
      </c>
      <c r="O665" s="35">
        <f t="shared" si="61"/>
        <v>1.2328767123287672</v>
      </c>
      <c r="P665" s="35">
        <f t="shared" si="62"/>
        <v>2.4657534246575343</v>
      </c>
    </row>
    <row r="666" spans="12:16" ht="15" hidden="1" customHeight="1">
      <c r="L666" s="43">
        <f t="shared" si="58"/>
        <v>45167</v>
      </c>
      <c r="M666" s="35">
        <f t="shared" si="59"/>
        <v>0</v>
      </c>
      <c r="N666" s="35">
        <f t="shared" si="60"/>
        <v>30000</v>
      </c>
      <c r="O666" s="35">
        <f t="shared" si="61"/>
        <v>1.2328767123287672</v>
      </c>
      <c r="P666" s="35">
        <f t="shared" si="62"/>
        <v>2.4657534246575343</v>
      </c>
    </row>
    <row r="667" spans="12:16" ht="15" hidden="1" customHeight="1">
      <c r="L667" s="43">
        <f t="shared" si="58"/>
        <v>45168</v>
      </c>
      <c r="M667" s="35">
        <f t="shared" si="59"/>
        <v>0</v>
      </c>
      <c r="N667" s="35">
        <f t="shared" si="60"/>
        <v>30000</v>
      </c>
      <c r="O667" s="35">
        <f t="shared" si="61"/>
        <v>1.2328767123287672</v>
      </c>
      <c r="P667" s="35">
        <f t="shared" si="62"/>
        <v>2.4657534246575343</v>
      </c>
    </row>
    <row r="668" spans="12:16" ht="15" hidden="1" customHeight="1">
      <c r="L668" s="43">
        <f t="shared" si="58"/>
        <v>45169</v>
      </c>
      <c r="M668" s="35">
        <f t="shared" si="59"/>
        <v>0</v>
      </c>
      <c r="N668" s="35">
        <f t="shared" si="60"/>
        <v>30000</v>
      </c>
      <c r="O668" s="35">
        <f t="shared" si="61"/>
        <v>1.2328767123287672</v>
      </c>
      <c r="P668" s="35">
        <f t="shared" si="62"/>
        <v>2.4657534246575343</v>
      </c>
    </row>
    <row r="669" spans="12:16" ht="15" hidden="1" customHeight="1">
      <c r="L669" s="43">
        <f t="shared" si="58"/>
        <v>45170</v>
      </c>
      <c r="M669" s="35">
        <f t="shared" si="59"/>
        <v>0</v>
      </c>
      <c r="N669" s="35">
        <f t="shared" si="60"/>
        <v>30000</v>
      </c>
      <c r="O669" s="35">
        <f t="shared" si="61"/>
        <v>1.2328767123287672</v>
      </c>
      <c r="P669" s="35">
        <f t="shared" si="62"/>
        <v>2.4657534246575343</v>
      </c>
    </row>
    <row r="670" spans="12:16" ht="15" hidden="1" customHeight="1">
      <c r="L670" s="43">
        <f t="shared" si="58"/>
        <v>45171</v>
      </c>
      <c r="M670" s="35">
        <f t="shared" si="59"/>
        <v>0</v>
      </c>
      <c r="N670" s="35">
        <f t="shared" si="60"/>
        <v>30000</v>
      </c>
      <c r="O670" s="35">
        <f t="shared" si="61"/>
        <v>1.2328767123287672</v>
      </c>
      <c r="P670" s="35">
        <f t="shared" si="62"/>
        <v>2.4657534246575343</v>
      </c>
    </row>
    <row r="671" spans="12:16" ht="15" hidden="1" customHeight="1">
      <c r="L671" s="43">
        <f t="shared" ref="L671:L734" si="63">IFERROR(IF(MAX(L670+1,Дата_получения_Займа+1)&gt;Дата_погашения_Займа,"-",MAX(L670+1,Дата_получения_Займа+1)),"-")</f>
        <v>45172</v>
      </c>
      <c r="M671" s="35">
        <f t="shared" ref="M671:M734" si="64">IFERROR(VLOOKUP(L671,$B$31:$E$59,4,FALSE),0)</f>
        <v>0</v>
      </c>
      <c r="N671" s="35">
        <f t="shared" ref="N671:N734" si="65">IF(ISNUMBER(N670),N670-M671,$E$20)</f>
        <v>30000</v>
      </c>
      <c r="O671" s="35">
        <f t="shared" ref="O671:O734" si="66">IFERROR(IF(ISNUMBER(N670),N670,$E$20)*IF(L671&gt;=$J$20,$E$25,$E$24)/IF(MOD(YEAR(L671),4),365,366)*IF(ISBLANK(L670),L671-$E$22,L671-L670),0)</f>
        <v>1.2328767123287672</v>
      </c>
      <c r="P671" s="35">
        <f t="shared" ref="P671:P734" si="67">IFERROR(IF(ISNUMBER(N670),N670,$E$20)*3%/IF(MOD(YEAR(L671),4),365,366)*IF(ISBLANK(L670),(L671-$E$22),L671-L670),0)</f>
        <v>2.4657534246575343</v>
      </c>
    </row>
    <row r="672" spans="12:16" ht="15" hidden="1" customHeight="1">
      <c r="L672" s="43">
        <f t="shared" si="63"/>
        <v>45173</v>
      </c>
      <c r="M672" s="35">
        <f t="shared" si="64"/>
        <v>0</v>
      </c>
      <c r="N672" s="35">
        <f t="shared" si="65"/>
        <v>30000</v>
      </c>
      <c r="O672" s="35">
        <f t="shared" si="66"/>
        <v>1.2328767123287672</v>
      </c>
      <c r="P672" s="35">
        <f t="shared" si="67"/>
        <v>2.4657534246575343</v>
      </c>
    </row>
    <row r="673" spans="12:16" ht="15" hidden="1" customHeight="1">
      <c r="L673" s="43">
        <f t="shared" si="63"/>
        <v>45174</v>
      </c>
      <c r="M673" s="35">
        <f t="shared" si="64"/>
        <v>0</v>
      </c>
      <c r="N673" s="35">
        <f t="shared" si="65"/>
        <v>30000</v>
      </c>
      <c r="O673" s="35">
        <f t="shared" si="66"/>
        <v>1.2328767123287672</v>
      </c>
      <c r="P673" s="35">
        <f t="shared" si="67"/>
        <v>2.4657534246575343</v>
      </c>
    </row>
    <row r="674" spans="12:16" ht="15" hidden="1" customHeight="1">
      <c r="L674" s="43">
        <f t="shared" si="63"/>
        <v>45175</v>
      </c>
      <c r="M674" s="35">
        <f t="shared" si="64"/>
        <v>0</v>
      </c>
      <c r="N674" s="35">
        <f t="shared" si="65"/>
        <v>30000</v>
      </c>
      <c r="O674" s="35">
        <f t="shared" si="66"/>
        <v>1.2328767123287672</v>
      </c>
      <c r="P674" s="35">
        <f t="shared" si="67"/>
        <v>2.4657534246575343</v>
      </c>
    </row>
    <row r="675" spans="12:16" ht="15" hidden="1" customHeight="1">
      <c r="L675" s="43">
        <f t="shared" si="63"/>
        <v>45176</v>
      </c>
      <c r="M675" s="35">
        <f t="shared" si="64"/>
        <v>0</v>
      </c>
      <c r="N675" s="35">
        <f t="shared" si="65"/>
        <v>30000</v>
      </c>
      <c r="O675" s="35">
        <f t="shared" si="66"/>
        <v>1.2328767123287672</v>
      </c>
      <c r="P675" s="35">
        <f t="shared" si="67"/>
        <v>2.4657534246575343</v>
      </c>
    </row>
    <row r="676" spans="12:16" ht="15" hidden="1" customHeight="1">
      <c r="L676" s="43">
        <f t="shared" si="63"/>
        <v>45177</v>
      </c>
      <c r="M676" s="35">
        <f t="shared" si="64"/>
        <v>0</v>
      </c>
      <c r="N676" s="35">
        <f t="shared" si="65"/>
        <v>30000</v>
      </c>
      <c r="O676" s="35">
        <f t="shared" si="66"/>
        <v>1.2328767123287672</v>
      </c>
      <c r="P676" s="35">
        <f t="shared" si="67"/>
        <v>2.4657534246575343</v>
      </c>
    </row>
    <row r="677" spans="12:16" ht="15" hidden="1" customHeight="1">
      <c r="L677" s="43">
        <f t="shared" si="63"/>
        <v>45178</v>
      </c>
      <c r="M677" s="35">
        <f t="shared" si="64"/>
        <v>0</v>
      </c>
      <c r="N677" s="35">
        <f t="shared" si="65"/>
        <v>30000</v>
      </c>
      <c r="O677" s="35">
        <f t="shared" si="66"/>
        <v>1.2328767123287672</v>
      </c>
      <c r="P677" s="35">
        <f t="shared" si="67"/>
        <v>2.4657534246575343</v>
      </c>
    </row>
    <row r="678" spans="12:16" ht="15" hidden="1" customHeight="1">
      <c r="L678" s="43">
        <f t="shared" si="63"/>
        <v>45179</v>
      </c>
      <c r="M678" s="35">
        <f t="shared" si="64"/>
        <v>0</v>
      </c>
      <c r="N678" s="35">
        <f t="shared" si="65"/>
        <v>30000</v>
      </c>
      <c r="O678" s="35">
        <f t="shared" si="66"/>
        <v>1.2328767123287672</v>
      </c>
      <c r="P678" s="35">
        <f t="shared" si="67"/>
        <v>2.4657534246575343</v>
      </c>
    </row>
    <row r="679" spans="12:16" ht="15" hidden="1" customHeight="1">
      <c r="L679" s="43">
        <f t="shared" si="63"/>
        <v>45180</v>
      </c>
      <c r="M679" s="35">
        <f t="shared" si="64"/>
        <v>0</v>
      </c>
      <c r="N679" s="35">
        <f t="shared" si="65"/>
        <v>30000</v>
      </c>
      <c r="O679" s="35">
        <f t="shared" si="66"/>
        <v>1.2328767123287672</v>
      </c>
      <c r="P679" s="35">
        <f t="shared" si="67"/>
        <v>2.4657534246575343</v>
      </c>
    </row>
    <row r="680" spans="12:16" ht="15" hidden="1" customHeight="1">
      <c r="L680" s="43">
        <f t="shared" si="63"/>
        <v>45181</v>
      </c>
      <c r="M680" s="35">
        <f t="shared" si="64"/>
        <v>0</v>
      </c>
      <c r="N680" s="35">
        <f t="shared" si="65"/>
        <v>30000</v>
      </c>
      <c r="O680" s="35">
        <f t="shared" si="66"/>
        <v>1.2328767123287672</v>
      </c>
      <c r="P680" s="35">
        <f t="shared" si="67"/>
        <v>2.4657534246575343</v>
      </c>
    </row>
    <row r="681" spans="12:16" ht="15" hidden="1" customHeight="1">
      <c r="L681" s="43">
        <f t="shared" si="63"/>
        <v>45182</v>
      </c>
      <c r="M681" s="35">
        <f t="shared" si="64"/>
        <v>0</v>
      </c>
      <c r="N681" s="35">
        <f t="shared" si="65"/>
        <v>30000</v>
      </c>
      <c r="O681" s="35">
        <f t="shared" si="66"/>
        <v>1.2328767123287672</v>
      </c>
      <c r="P681" s="35">
        <f t="shared" si="67"/>
        <v>2.4657534246575343</v>
      </c>
    </row>
    <row r="682" spans="12:16" ht="15" hidden="1" customHeight="1">
      <c r="L682" s="43">
        <f t="shared" si="63"/>
        <v>45183</v>
      </c>
      <c r="M682" s="35">
        <f t="shared" si="64"/>
        <v>0</v>
      </c>
      <c r="N682" s="35">
        <f t="shared" si="65"/>
        <v>30000</v>
      </c>
      <c r="O682" s="35">
        <f t="shared" si="66"/>
        <v>1.2328767123287672</v>
      </c>
      <c r="P682" s="35">
        <f t="shared" si="67"/>
        <v>2.4657534246575343</v>
      </c>
    </row>
    <row r="683" spans="12:16" ht="15" hidden="1" customHeight="1">
      <c r="L683" s="43">
        <f t="shared" si="63"/>
        <v>45184</v>
      </c>
      <c r="M683" s="35">
        <f t="shared" si="64"/>
        <v>0</v>
      </c>
      <c r="N683" s="35">
        <f t="shared" si="65"/>
        <v>30000</v>
      </c>
      <c r="O683" s="35">
        <f t="shared" si="66"/>
        <v>1.2328767123287672</v>
      </c>
      <c r="P683" s="35">
        <f t="shared" si="67"/>
        <v>2.4657534246575343</v>
      </c>
    </row>
    <row r="684" spans="12:16" ht="15" hidden="1" customHeight="1">
      <c r="L684" s="43">
        <f t="shared" si="63"/>
        <v>45185</v>
      </c>
      <c r="M684" s="35">
        <f t="shared" si="64"/>
        <v>0</v>
      </c>
      <c r="N684" s="35">
        <f t="shared" si="65"/>
        <v>30000</v>
      </c>
      <c r="O684" s="35">
        <f t="shared" si="66"/>
        <v>1.2328767123287672</v>
      </c>
      <c r="P684" s="35">
        <f t="shared" si="67"/>
        <v>2.4657534246575343</v>
      </c>
    </row>
    <row r="685" spans="12:16" ht="15" hidden="1" customHeight="1">
      <c r="L685" s="43">
        <f t="shared" si="63"/>
        <v>45186</v>
      </c>
      <c r="M685" s="35">
        <f t="shared" si="64"/>
        <v>0</v>
      </c>
      <c r="N685" s="35">
        <f t="shared" si="65"/>
        <v>30000</v>
      </c>
      <c r="O685" s="35">
        <f t="shared" si="66"/>
        <v>1.2328767123287672</v>
      </c>
      <c r="P685" s="35">
        <f t="shared" si="67"/>
        <v>2.4657534246575343</v>
      </c>
    </row>
    <row r="686" spans="12:16" ht="15" hidden="1" customHeight="1">
      <c r="L686" s="43">
        <f t="shared" si="63"/>
        <v>45187</v>
      </c>
      <c r="M686" s="35">
        <f t="shared" si="64"/>
        <v>0</v>
      </c>
      <c r="N686" s="35">
        <f t="shared" si="65"/>
        <v>30000</v>
      </c>
      <c r="O686" s="35">
        <f t="shared" si="66"/>
        <v>1.2328767123287672</v>
      </c>
      <c r="P686" s="35">
        <f t="shared" si="67"/>
        <v>2.4657534246575343</v>
      </c>
    </row>
    <row r="687" spans="12:16" ht="15" hidden="1" customHeight="1">
      <c r="L687" s="43">
        <f t="shared" si="63"/>
        <v>45188</v>
      </c>
      <c r="M687" s="35">
        <f t="shared" si="64"/>
        <v>0</v>
      </c>
      <c r="N687" s="35">
        <f t="shared" si="65"/>
        <v>30000</v>
      </c>
      <c r="O687" s="35">
        <f t="shared" si="66"/>
        <v>1.2328767123287672</v>
      </c>
      <c r="P687" s="35">
        <f t="shared" si="67"/>
        <v>2.4657534246575343</v>
      </c>
    </row>
    <row r="688" spans="12:16" ht="15" hidden="1" customHeight="1">
      <c r="L688" s="43">
        <f t="shared" si="63"/>
        <v>45189</v>
      </c>
      <c r="M688" s="35">
        <f t="shared" si="64"/>
        <v>0</v>
      </c>
      <c r="N688" s="35">
        <f t="shared" si="65"/>
        <v>30000</v>
      </c>
      <c r="O688" s="35">
        <f t="shared" si="66"/>
        <v>1.2328767123287672</v>
      </c>
      <c r="P688" s="35">
        <f t="shared" si="67"/>
        <v>2.4657534246575343</v>
      </c>
    </row>
    <row r="689" spans="12:16" ht="15" hidden="1" customHeight="1">
      <c r="L689" s="43">
        <f t="shared" si="63"/>
        <v>45190</v>
      </c>
      <c r="M689" s="35">
        <f t="shared" si="64"/>
        <v>0</v>
      </c>
      <c r="N689" s="35">
        <f t="shared" si="65"/>
        <v>30000</v>
      </c>
      <c r="O689" s="35">
        <f t="shared" si="66"/>
        <v>1.2328767123287672</v>
      </c>
      <c r="P689" s="35">
        <f t="shared" si="67"/>
        <v>2.4657534246575343</v>
      </c>
    </row>
    <row r="690" spans="12:16" ht="15" hidden="1" customHeight="1">
      <c r="L690" s="43">
        <f t="shared" si="63"/>
        <v>45191</v>
      </c>
      <c r="M690" s="35">
        <f t="shared" si="64"/>
        <v>0</v>
      </c>
      <c r="N690" s="35">
        <f t="shared" si="65"/>
        <v>30000</v>
      </c>
      <c r="O690" s="35">
        <f t="shared" si="66"/>
        <v>1.2328767123287672</v>
      </c>
      <c r="P690" s="35">
        <f t="shared" si="67"/>
        <v>2.4657534246575343</v>
      </c>
    </row>
    <row r="691" spans="12:16" ht="15" hidden="1" customHeight="1">
      <c r="L691" s="43">
        <f t="shared" si="63"/>
        <v>45192</v>
      </c>
      <c r="M691" s="35">
        <f t="shared" si="64"/>
        <v>0</v>
      </c>
      <c r="N691" s="35">
        <f t="shared" si="65"/>
        <v>30000</v>
      </c>
      <c r="O691" s="35">
        <f t="shared" si="66"/>
        <v>1.2328767123287672</v>
      </c>
      <c r="P691" s="35">
        <f t="shared" si="67"/>
        <v>2.4657534246575343</v>
      </c>
    </row>
    <row r="692" spans="12:16" ht="15" hidden="1" customHeight="1">
      <c r="L692" s="43">
        <f t="shared" si="63"/>
        <v>45193</v>
      </c>
      <c r="M692" s="35">
        <f t="shared" si="64"/>
        <v>0</v>
      </c>
      <c r="N692" s="35">
        <f t="shared" si="65"/>
        <v>30000</v>
      </c>
      <c r="O692" s="35">
        <f t="shared" si="66"/>
        <v>1.2328767123287672</v>
      </c>
      <c r="P692" s="35">
        <f t="shared" si="67"/>
        <v>2.4657534246575343</v>
      </c>
    </row>
    <row r="693" spans="12:16" ht="15" hidden="1" customHeight="1">
      <c r="L693" s="43">
        <f t="shared" si="63"/>
        <v>45194</v>
      </c>
      <c r="M693" s="35">
        <f t="shared" si="64"/>
        <v>0</v>
      </c>
      <c r="N693" s="35">
        <f t="shared" si="65"/>
        <v>30000</v>
      </c>
      <c r="O693" s="35">
        <f t="shared" si="66"/>
        <v>1.2328767123287672</v>
      </c>
      <c r="P693" s="35">
        <f t="shared" si="67"/>
        <v>2.4657534246575343</v>
      </c>
    </row>
    <row r="694" spans="12:16" ht="15" hidden="1" customHeight="1">
      <c r="L694" s="43">
        <f t="shared" si="63"/>
        <v>45195</v>
      </c>
      <c r="M694" s="35">
        <f t="shared" si="64"/>
        <v>0</v>
      </c>
      <c r="N694" s="35">
        <f t="shared" si="65"/>
        <v>30000</v>
      </c>
      <c r="O694" s="35">
        <f t="shared" si="66"/>
        <v>1.2328767123287672</v>
      </c>
      <c r="P694" s="35">
        <f t="shared" si="67"/>
        <v>2.4657534246575343</v>
      </c>
    </row>
    <row r="695" spans="12:16" ht="15" hidden="1" customHeight="1">
      <c r="L695" s="43">
        <f t="shared" si="63"/>
        <v>45196</v>
      </c>
      <c r="M695" s="35">
        <f t="shared" si="64"/>
        <v>0</v>
      </c>
      <c r="N695" s="35">
        <f t="shared" si="65"/>
        <v>30000</v>
      </c>
      <c r="O695" s="35">
        <f t="shared" si="66"/>
        <v>1.2328767123287672</v>
      </c>
      <c r="P695" s="35">
        <f t="shared" si="67"/>
        <v>2.4657534246575343</v>
      </c>
    </row>
    <row r="696" spans="12:16" ht="15" hidden="1" customHeight="1">
      <c r="L696" s="43">
        <f t="shared" si="63"/>
        <v>45197</v>
      </c>
      <c r="M696" s="35">
        <f t="shared" si="64"/>
        <v>0</v>
      </c>
      <c r="N696" s="35">
        <f t="shared" si="65"/>
        <v>30000</v>
      </c>
      <c r="O696" s="35">
        <f t="shared" si="66"/>
        <v>1.2328767123287672</v>
      </c>
      <c r="P696" s="35">
        <f t="shared" si="67"/>
        <v>2.4657534246575343</v>
      </c>
    </row>
    <row r="697" spans="12:16" ht="15" hidden="1" customHeight="1">
      <c r="L697" s="43">
        <f t="shared" si="63"/>
        <v>45198</v>
      </c>
      <c r="M697" s="35">
        <f t="shared" si="64"/>
        <v>0</v>
      </c>
      <c r="N697" s="35">
        <f t="shared" si="65"/>
        <v>30000</v>
      </c>
      <c r="O697" s="35">
        <f t="shared" si="66"/>
        <v>1.2328767123287672</v>
      </c>
      <c r="P697" s="35">
        <f t="shared" si="67"/>
        <v>2.4657534246575343</v>
      </c>
    </row>
    <row r="698" spans="12:16" ht="15" hidden="1" customHeight="1">
      <c r="L698" s="43">
        <f t="shared" si="63"/>
        <v>45199</v>
      </c>
      <c r="M698" s="35">
        <f t="shared" si="64"/>
        <v>0</v>
      </c>
      <c r="N698" s="35">
        <f t="shared" si="65"/>
        <v>30000</v>
      </c>
      <c r="O698" s="35">
        <f t="shared" si="66"/>
        <v>1.2328767123287672</v>
      </c>
      <c r="P698" s="35">
        <f t="shared" si="67"/>
        <v>2.4657534246575343</v>
      </c>
    </row>
    <row r="699" spans="12:16" ht="15" hidden="1" customHeight="1">
      <c r="L699" s="43">
        <f t="shared" si="63"/>
        <v>45200</v>
      </c>
      <c r="M699" s="35">
        <f t="shared" si="64"/>
        <v>0</v>
      </c>
      <c r="N699" s="35">
        <f t="shared" si="65"/>
        <v>30000</v>
      </c>
      <c r="O699" s="35">
        <f t="shared" si="66"/>
        <v>1.2328767123287672</v>
      </c>
      <c r="P699" s="35">
        <f t="shared" si="67"/>
        <v>2.4657534246575343</v>
      </c>
    </row>
    <row r="700" spans="12:16" ht="15" hidden="1" customHeight="1">
      <c r="L700" s="43">
        <f t="shared" si="63"/>
        <v>45201</v>
      </c>
      <c r="M700" s="35">
        <f t="shared" si="64"/>
        <v>0</v>
      </c>
      <c r="N700" s="35">
        <f t="shared" si="65"/>
        <v>30000</v>
      </c>
      <c r="O700" s="35">
        <f t="shared" si="66"/>
        <v>1.2328767123287672</v>
      </c>
      <c r="P700" s="35">
        <f t="shared" si="67"/>
        <v>2.4657534246575343</v>
      </c>
    </row>
    <row r="701" spans="12:16" ht="15" hidden="1" customHeight="1">
      <c r="L701" s="43">
        <f t="shared" si="63"/>
        <v>45202</v>
      </c>
      <c r="M701" s="35">
        <f t="shared" si="64"/>
        <v>0</v>
      </c>
      <c r="N701" s="35">
        <f t="shared" si="65"/>
        <v>30000</v>
      </c>
      <c r="O701" s="35">
        <f t="shared" si="66"/>
        <v>1.2328767123287672</v>
      </c>
      <c r="P701" s="35">
        <f t="shared" si="67"/>
        <v>2.4657534246575343</v>
      </c>
    </row>
    <row r="702" spans="12:16" ht="15" hidden="1" customHeight="1">
      <c r="L702" s="43">
        <f t="shared" si="63"/>
        <v>45203</v>
      </c>
      <c r="M702" s="35">
        <f t="shared" si="64"/>
        <v>0</v>
      </c>
      <c r="N702" s="35">
        <f t="shared" si="65"/>
        <v>30000</v>
      </c>
      <c r="O702" s="35">
        <f t="shared" si="66"/>
        <v>1.2328767123287672</v>
      </c>
      <c r="P702" s="35">
        <f t="shared" si="67"/>
        <v>2.4657534246575343</v>
      </c>
    </row>
    <row r="703" spans="12:16" ht="15" hidden="1" customHeight="1">
      <c r="L703" s="43">
        <f t="shared" si="63"/>
        <v>45204</v>
      </c>
      <c r="M703" s="35">
        <f t="shared" si="64"/>
        <v>0</v>
      </c>
      <c r="N703" s="35">
        <f t="shared" si="65"/>
        <v>30000</v>
      </c>
      <c r="O703" s="35">
        <f t="shared" si="66"/>
        <v>1.2328767123287672</v>
      </c>
      <c r="P703" s="35">
        <f t="shared" si="67"/>
        <v>2.4657534246575343</v>
      </c>
    </row>
    <row r="704" spans="12:16" ht="15" hidden="1" customHeight="1">
      <c r="L704" s="43">
        <f t="shared" si="63"/>
        <v>45205</v>
      </c>
      <c r="M704" s="35">
        <f t="shared" si="64"/>
        <v>0</v>
      </c>
      <c r="N704" s="35">
        <f t="shared" si="65"/>
        <v>30000</v>
      </c>
      <c r="O704" s="35">
        <f t="shared" si="66"/>
        <v>1.2328767123287672</v>
      </c>
      <c r="P704" s="35">
        <f t="shared" si="67"/>
        <v>2.4657534246575343</v>
      </c>
    </row>
    <row r="705" spans="12:16" ht="15" hidden="1" customHeight="1">
      <c r="L705" s="43">
        <f t="shared" si="63"/>
        <v>45206</v>
      </c>
      <c r="M705" s="35">
        <f t="shared" si="64"/>
        <v>0</v>
      </c>
      <c r="N705" s="35">
        <f t="shared" si="65"/>
        <v>30000</v>
      </c>
      <c r="O705" s="35">
        <f t="shared" si="66"/>
        <v>1.2328767123287672</v>
      </c>
      <c r="P705" s="35">
        <f t="shared" si="67"/>
        <v>2.4657534246575343</v>
      </c>
    </row>
    <row r="706" spans="12:16" ht="15" hidden="1" customHeight="1">
      <c r="L706" s="43">
        <f t="shared" si="63"/>
        <v>45207</v>
      </c>
      <c r="M706" s="35">
        <f t="shared" si="64"/>
        <v>0</v>
      </c>
      <c r="N706" s="35">
        <f t="shared" si="65"/>
        <v>30000</v>
      </c>
      <c r="O706" s="35">
        <f t="shared" si="66"/>
        <v>1.2328767123287672</v>
      </c>
      <c r="P706" s="35">
        <f t="shared" si="67"/>
        <v>2.4657534246575343</v>
      </c>
    </row>
    <row r="707" spans="12:16" ht="15" hidden="1" customHeight="1">
      <c r="L707" s="43">
        <f t="shared" si="63"/>
        <v>45208</v>
      </c>
      <c r="M707" s="35">
        <f t="shared" si="64"/>
        <v>0</v>
      </c>
      <c r="N707" s="35">
        <f t="shared" si="65"/>
        <v>30000</v>
      </c>
      <c r="O707" s="35">
        <f t="shared" si="66"/>
        <v>1.2328767123287672</v>
      </c>
      <c r="P707" s="35">
        <f t="shared" si="67"/>
        <v>2.4657534246575343</v>
      </c>
    </row>
    <row r="708" spans="12:16" ht="15" hidden="1" customHeight="1">
      <c r="L708" s="43">
        <f t="shared" si="63"/>
        <v>45209</v>
      </c>
      <c r="M708" s="35">
        <f t="shared" si="64"/>
        <v>0</v>
      </c>
      <c r="N708" s="35">
        <f t="shared" si="65"/>
        <v>30000</v>
      </c>
      <c r="O708" s="35">
        <f t="shared" si="66"/>
        <v>1.2328767123287672</v>
      </c>
      <c r="P708" s="35">
        <f t="shared" si="67"/>
        <v>2.4657534246575343</v>
      </c>
    </row>
    <row r="709" spans="12:16" ht="15" hidden="1" customHeight="1">
      <c r="L709" s="43">
        <f t="shared" si="63"/>
        <v>45210</v>
      </c>
      <c r="M709" s="35">
        <f t="shared" si="64"/>
        <v>0</v>
      </c>
      <c r="N709" s="35">
        <f t="shared" si="65"/>
        <v>30000</v>
      </c>
      <c r="O709" s="35">
        <f t="shared" si="66"/>
        <v>1.2328767123287672</v>
      </c>
      <c r="P709" s="35">
        <f t="shared" si="67"/>
        <v>2.4657534246575343</v>
      </c>
    </row>
    <row r="710" spans="12:16" ht="15" hidden="1" customHeight="1">
      <c r="L710" s="43">
        <f t="shared" si="63"/>
        <v>45211</v>
      </c>
      <c r="M710" s="35">
        <f t="shared" si="64"/>
        <v>0</v>
      </c>
      <c r="N710" s="35">
        <f t="shared" si="65"/>
        <v>30000</v>
      </c>
      <c r="O710" s="35">
        <f t="shared" si="66"/>
        <v>1.2328767123287672</v>
      </c>
      <c r="P710" s="35">
        <f t="shared" si="67"/>
        <v>2.4657534246575343</v>
      </c>
    </row>
    <row r="711" spans="12:16" ht="15" hidden="1" customHeight="1">
      <c r="L711" s="43">
        <f t="shared" si="63"/>
        <v>45212</v>
      </c>
      <c r="M711" s="35">
        <f t="shared" si="64"/>
        <v>0</v>
      </c>
      <c r="N711" s="35">
        <f t="shared" si="65"/>
        <v>30000</v>
      </c>
      <c r="O711" s="35">
        <f t="shared" si="66"/>
        <v>1.2328767123287672</v>
      </c>
      <c r="P711" s="35">
        <f t="shared" si="67"/>
        <v>2.4657534246575343</v>
      </c>
    </row>
    <row r="712" spans="12:16" ht="15" hidden="1" customHeight="1">
      <c r="L712" s="43">
        <f t="shared" si="63"/>
        <v>45213</v>
      </c>
      <c r="M712" s="35">
        <f t="shared" si="64"/>
        <v>0</v>
      </c>
      <c r="N712" s="35">
        <f t="shared" si="65"/>
        <v>30000</v>
      </c>
      <c r="O712" s="35">
        <f t="shared" si="66"/>
        <v>1.2328767123287672</v>
      </c>
      <c r="P712" s="35">
        <f t="shared" si="67"/>
        <v>2.4657534246575343</v>
      </c>
    </row>
    <row r="713" spans="12:16" ht="15" hidden="1" customHeight="1">
      <c r="L713" s="43">
        <f t="shared" si="63"/>
        <v>45214</v>
      </c>
      <c r="M713" s="35">
        <f t="shared" si="64"/>
        <v>0</v>
      </c>
      <c r="N713" s="35">
        <f t="shared" si="65"/>
        <v>30000</v>
      </c>
      <c r="O713" s="35">
        <f t="shared" si="66"/>
        <v>1.2328767123287672</v>
      </c>
      <c r="P713" s="35">
        <f t="shared" si="67"/>
        <v>2.4657534246575343</v>
      </c>
    </row>
    <row r="714" spans="12:16" ht="15" hidden="1" customHeight="1">
      <c r="L714" s="43">
        <f t="shared" si="63"/>
        <v>45215</v>
      </c>
      <c r="M714" s="35">
        <f t="shared" si="64"/>
        <v>0</v>
      </c>
      <c r="N714" s="35">
        <f t="shared" si="65"/>
        <v>30000</v>
      </c>
      <c r="O714" s="35">
        <f t="shared" si="66"/>
        <v>1.2328767123287672</v>
      </c>
      <c r="P714" s="35">
        <f t="shared" si="67"/>
        <v>2.4657534246575343</v>
      </c>
    </row>
    <row r="715" spans="12:16" ht="15" hidden="1" customHeight="1">
      <c r="L715" s="43">
        <f t="shared" si="63"/>
        <v>45216</v>
      </c>
      <c r="M715" s="35">
        <f t="shared" si="64"/>
        <v>0</v>
      </c>
      <c r="N715" s="35">
        <f t="shared" si="65"/>
        <v>30000</v>
      </c>
      <c r="O715" s="35">
        <f t="shared" si="66"/>
        <v>1.2328767123287672</v>
      </c>
      <c r="P715" s="35">
        <f t="shared" si="67"/>
        <v>2.4657534246575343</v>
      </c>
    </row>
    <row r="716" spans="12:16" ht="15" hidden="1" customHeight="1">
      <c r="L716" s="43">
        <f t="shared" si="63"/>
        <v>45217</v>
      </c>
      <c r="M716" s="35">
        <f t="shared" si="64"/>
        <v>0</v>
      </c>
      <c r="N716" s="35">
        <f t="shared" si="65"/>
        <v>30000</v>
      </c>
      <c r="O716" s="35">
        <f t="shared" si="66"/>
        <v>1.2328767123287672</v>
      </c>
      <c r="P716" s="35">
        <f t="shared" si="67"/>
        <v>2.4657534246575343</v>
      </c>
    </row>
    <row r="717" spans="12:16" ht="15" hidden="1" customHeight="1">
      <c r="L717" s="43">
        <f t="shared" si="63"/>
        <v>45218</v>
      </c>
      <c r="M717" s="35">
        <f t="shared" si="64"/>
        <v>0</v>
      </c>
      <c r="N717" s="35">
        <f t="shared" si="65"/>
        <v>30000</v>
      </c>
      <c r="O717" s="35">
        <f t="shared" si="66"/>
        <v>1.2328767123287672</v>
      </c>
      <c r="P717" s="35">
        <f t="shared" si="67"/>
        <v>2.4657534246575343</v>
      </c>
    </row>
    <row r="718" spans="12:16" ht="15" hidden="1" customHeight="1">
      <c r="L718" s="43">
        <f t="shared" si="63"/>
        <v>45219</v>
      </c>
      <c r="M718" s="35">
        <f t="shared" si="64"/>
        <v>0</v>
      </c>
      <c r="N718" s="35">
        <f t="shared" si="65"/>
        <v>30000</v>
      </c>
      <c r="O718" s="35">
        <f t="shared" si="66"/>
        <v>1.2328767123287672</v>
      </c>
      <c r="P718" s="35">
        <f t="shared" si="67"/>
        <v>2.4657534246575343</v>
      </c>
    </row>
    <row r="719" spans="12:16" ht="15" hidden="1" customHeight="1">
      <c r="L719" s="43">
        <f t="shared" si="63"/>
        <v>45220</v>
      </c>
      <c r="M719" s="35">
        <f t="shared" si="64"/>
        <v>0</v>
      </c>
      <c r="N719" s="35">
        <f t="shared" si="65"/>
        <v>30000</v>
      </c>
      <c r="O719" s="35">
        <f t="shared" si="66"/>
        <v>1.2328767123287672</v>
      </c>
      <c r="P719" s="35">
        <f t="shared" si="67"/>
        <v>2.4657534246575343</v>
      </c>
    </row>
    <row r="720" spans="12:16" ht="15" hidden="1" customHeight="1">
      <c r="L720" s="43">
        <f t="shared" si="63"/>
        <v>45221</v>
      </c>
      <c r="M720" s="35">
        <f t="shared" si="64"/>
        <v>0</v>
      </c>
      <c r="N720" s="35">
        <f t="shared" si="65"/>
        <v>30000</v>
      </c>
      <c r="O720" s="35">
        <f t="shared" si="66"/>
        <v>1.2328767123287672</v>
      </c>
      <c r="P720" s="35">
        <f t="shared" si="67"/>
        <v>2.4657534246575343</v>
      </c>
    </row>
    <row r="721" spans="12:16" ht="15" hidden="1" customHeight="1">
      <c r="L721" s="43">
        <f t="shared" si="63"/>
        <v>45222</v>
      </c>
      <c r="M721" s="35">
        <f t="shared" si="64"/>
        <v>0</v>
      </c>
      <c r="N721" s="35">
        <f t="shared" si="65"/>
        <v>30000</v>
      </c>
      <c r="O721" s="35">
        <f t="shared" si="66"/>
        <v>1.2328767123287672</v>
      </c>
      <c r="P721" s="35">
        <f t="shared" si="67"/>
        <v>2.4657534246575343</v>
      </c>
    </row>
    <row r="722" spans="12:16" ht="15" hidden="1" customHeight="1">
      <c r="L722" s="43">
        <f t="shared" si="63"/>
        <v>45223</v>
      </c>
      <c r="M722" s="35">
        <f t="shared" si="64"/>
        <v>0</v>
      </c>
      <c r="N722" s="35">
        <f t="shared" si="65"/>
        <v>30000</v>
      </c>
      <c r="O722" s="35">
        <f t="shared" si="66"/>
        <v>1.2328767123287672</v>
      </c>
      <c r="P722" s="35">
        <f t="shared" si="67"/>
        <v>2.4657534246575343</v>
      </c>
    </row>
    <row r="723" spans="12:16" ht="15" hidden="1" customHeight="1">
      <c r="L723" s="43">
        <f t="shared" si="63"/>
        <v>45224</v>
      </c>
      <c r="M723" s="35">
        <f t="shared" si="64"/>
        <v>0</v>
      </c>
      <c r="N723" s="35">
        <f t="shared" si="65"/>
        <v>30000</v>
      </c>
      <c r="O723" s="35">
        <f t="shared" si="66"/>
        <v>1.2328767123287672</v>
      </c>
      <c r="P723" s="35">
        <f t="shared" si="67"/>
        <v>2.4657534246575343</v>
      </c>
    </row>
    <row r="724" spans="12:16" ht="15" hidden="1" customHeight="1">
      <c r="L724" s="43">
        <f t="shared" si="63"/>
        <v>45225</v>
      </c>
      <c r="M724" s="35">
        <f t="shared" si="64"/>
        <v>0</v>
      </c>
      <c r="N724" s="35">
        <f t="shared" si="65"/>
        <v>30000</v>
      </c>
      <c r="O724" s="35">
        <f t="shared" si="66"/>
        <v>1.2328767123287672</v>
      </c>
      <c r="P724" s="35">
        <f t="shared" si="67"/>
        <v>2.4657534246575343</v>
      </c>
    </row>
    <row r="725" spans="12:16" ht="15" hidden="1" customHeight="1">
      <c r="L725" s="43">
        <f t="shared" si="63"/>
        <v>45226</v>
      </c>
      <c r="M725" s="35">
        <f t="shared" si="64"/>
        <v>0</v>
      </c>
      <c r="N725" s="35">
        <f t="shared" si="65"/>
        <v>30000</v>
      </c>
      <c r="O725" s="35">
        <f t="shared" si="66"/>
        <v>1.2328767123287672</v>
      </c>
      <c r="P725" s="35">
        <f t="shared" si="67"/>
        <v>2.4657534246575343</v>
      </c>
    </row>
    <row r="726" spans="12:16" ht="15" hidden="1" customHeight="1">
      <c r="L726" s="43">
        <f t="shared" si="63"/>
        <v>45227</v>
      </c>
      <c r="M726" s="35">
        <f t="shared" si="64"/>
        <v>0</v>
      </c>
      <c r="N726" s="35">
        <f t="shared" si="65"/>
        <v>30000</v>
      </c>
      <c r="O726" s="35">
        <f t="shared" si="66"/>
        <v>1.2328767123287672</v>
      </c>
      <c r="P726" s="35">
        <f t="shared" si="67"/>
        <v>2.4657534246575343</v>
      </c>
    </row>
    <row r="727" spans="12:16" ht="15" hidden="1" customHeight="1">
      <c r="L727" s="43">
        <f t="shared" si="63"/>
        <v>45228</v>
      </c>
      <c r="M727" s="35">
        <f t="shared" si="64"/>
        <v>0</v>
      </c>
      <c r="N727" s="35">
        <f t="shared" si="65"/>
        <v>30000</v>
      </c>
      <c r="O727" s="35">
        <f t="shared" si="66"/>
        <v>1.2328767123287672</v>
      </c>
      <c r="P727" s="35">
        <f t="shared" si="67"/>
        <v>2.4657534246575343</v>
      </c>
    </row>
    <row r="728" spans="12:16" ht="15" hidden="1" customHeight="1">
      <c r="L728" s="43">
        <f t="shared" si="63"/>
        <v>45229</v>
      </c>
      <c r="M728" s="35">
        <f t="shared" si="64"/>
        <v>0</v>
      </c>
      <c r="N728" s="35">
        <f t="shared" si="65"/>
        <v>30000</v>
      </c>
      <c r="O728" s="35">
        <f t="shared" si="66"/>
        <v>1.2328767123287672</v>
      </c>
      <c r="P728" s="35">
        <f t="shared" si="67"/>
        <v>2.4657534246575343</v>
      </c>
    </row>
    <row r="729" spans="12:16" ht="15" hidden="1" customHeight="1">
      <c r="L729" s="43">
        <f t="shared" si="63"/>
        <v>45230</v>
      </c>
      <c r="M729" s="35">
        <f t="shared" si="64"/>
        <v>0</v>
      </c>
      <c r="N729" s="35">
        <f t="shared" si="65"/>
        <v>30000</v>
      </c>
      <c r="O729" s="35">
        <f t="shared" si="66"/>
        <v>1.2328767123287672</v>
      </c>
      <c r="P729" s="35">
        <f t="shared" si="67"/>
        <v>2.4657534246575343</v>
      </c>
    </row>
    <row r="730" spans="12:16" ht="15" hidden="1" customHeight="1">
      <c r="L730" s="43">
        <f t="shared" si="63"/>
        <v>45231</v>
      </c>
      <c r="M730" s="35">
        <f t="shared" si="64"/>
        <v>0</v>
      </c>
      <c r="N730" s="35">
        <f t="shared" si="65"/>
        <v>30000</v>
      </c>
      <c r="O730" s="35">
        <f t="shared" si="66"/>
        <v>1.2328767123287672</v>
      </c>
      <c r="P730" s="35">
        <f t="shared" si="67"/>
        <v>2.4657534246575343</v>
      </c>
    </row>
    <row r="731" spans="12:16" ht="15" hidden="1" customHeight="1">
      <c r="L731" s="43">
        <f t="shared" si="63"/>
        <v>45232</v>
      </c>
      <c r="M731" s="35">
        <f t="shared" si="64"/>
        <v>0</v>
      </c>
      <c r="N731" s="35">
        <f t="shared" si="65"/>
        <v>30000</v>
      </c>
      <c r="O731" s="35">
        <f t="shared" si="66"/>
        <v>1.2328767123287672</v>
      </c>
      <c r="P731" s="35">
        <f t="shared" si="67"/>
        <v>2.4657534246575343</v>
      </c>
    </row>
    <row r="732" spans="12:16" ht="15" hidden="1" customHeight="1">
      <c r="L732" s="43">
        <f t="shared" si="63"/>
        <v>45233</v>
      </c>
      <c r="M732" s="35">
        <f t="shared" si="64"/>
        <v>0</v>
      </c>
      <c r="N732" s="35">
        <f t="shared" si="65"/>
        <v>30000</v>
      </c>
      <c r="O732" s="35">
        <f t="shared" si="66"/>
        <v>1.2328767123287672</v>
      </c>
      <c r="P732" s="35">
        <f t="shared" si="67"/>
        <v>2.4657534246575343</v>
      </c>
    </row>
    <row r="733" spans="12:16" ht="15" hidden="1" customHeight="1">
      <c r="L733" s="43">
        <f t="shared" si="63"/>
        <v>45234</v>
      </c>
      <c r="M733" s="35">
        <f t="shared" si="64"/>
        <v>0</v>
      </c>
      <c r="N733" s="35">
        <f t="shared" si="65"/>
        <v>30000</v>
      </c>
      <c r="O733" s="35">
        <f t="shared" si="66"/>
        <v>1.2328767123287672</v>
      </c>
      <c r="P733" s="35">
        <f t="shared" si="67"/>
        <v>2.4657534246575343</v>
      </c>
    </row>
    <row r="734" spans="12:16" ht="15" hidden="1" customHeight="1">
      <c r="L734" s="43">
        <f t="shared" si="63"/>
        <v>45235</v>
      </c>
      <c r="M734" s="35">
        <f t="shared" si="64"/>
        <v>0</v>
      </c>
      <c r="N734" s="35">
        <f t="shared" si="65"/>
        <v>30000</v>
      </c>
      <c r="O734" s="35">
        <f t="shared" si="66"/>
        <v>1.2328767123287672</v>
      </c>
      <c r="P734" s="35">
        <f t="shared" si="67"/>
        <v>2.4657534246575343</v>
      </c>
    </row>
    <row r="735" spans="12:16" ht="15" hidden="1" customHeight="1">
      <c r="L735" s="43">
        <f t="shared" ref="L735:L798" si="68">IFERROR(IF(MAX(L734+1,Дата_получения_Займа+1)&gt;Дата_погашения_Займа,"-",MAX(L734+1,Дата_получения_Займа+1)),"-")</f>
        <v>45236</v>
      </c>
      <c r="M735" s="35">
        <f t="shared" ref="M735:M798" si="69">IFERROR(VLOOKUP(L735,$B$31:$E$59,4,FALSE),0)</f>
        <v>0</v>
      </c>
      <c r="N735" s="35">
        <f t="shared" ref="N735:N798" si="70">IF(ISNUMBER(N734),N734-M735,$E$20)</f>
        <v>30000</v>
      </c>
      <c r="O735" s="35">
        <f t="shared" ref="O735:O798" si="71">IFERROR(IF(ISNUMBER(N734),N734,$E$20)*IF(L735&gt;=$J$20,$E$25,$E$24)/IF(MOD(YEAR(L735),4),365,366)*IF(ISBLANK(L734),L735-$E$22,L735-L734),0)</f>
        <v>1.2328767123287672</v>
      </c>
      <c r="P735" s="35">
        <f t="shared" ref="P735:P798" si="72">IFERROR(IF(ISNUMBER(N734),N734,$E$20)*3%/IF(MOD(YEAR(L735),4),365,366)*IF(ISBLANK(L734),(L735-$E$22),L735-L734),0)</f>
        <v>2.4657534246575343</v>
      </c>
    </row>
    <row r="736" spans="12:16" ht="15" hidden="1" customHeight="1">
      <c r="L736" s="43">
        <f t="shared" si="68"/>
        <v>45237</v>
      </c>
      <c r="M736" s="35">
        <f t="shared" si="69"/>
        <v>0</v>
      </c>
      <c r="N736" s="35">
        <f t="shared" si="70"/>
        <v>30000</v>
      </c>
      <c r="O736" s="35">
        <f t="shared" si="71"/>
        <v>1.2328767123287672</v>
      </c>
      <c r="P736" s="35">
        <f t="shared" si="72"/>
        <v>2.4657534246575343</v>
      </c>
    </row>
    <row r="737" spans="12:16" ht="15" hidden="1" customHeight="1">
      <c r="L737" s="43">
        <f t="shared" si="68"/>
        <v>45238</v>
      </c>
      <c r="M737" s="35">
        <f t="shared" si="69"/>
        <v>0</v>
      </c>
      <c r="N737" s="35">
        <f t="shared" si="70"/>
        <v>30000</v>
      </c>
      <c r="O737" s="35">
        <f t="shared" si="71"/>
        <v>1.2328767123287672</v>
      </c>
      <c r="P737" s="35">
        <f t="shared" si="72"/>
        <v>2.4657534246575343</v>
      </c>
    </row>
    <row r="738" spans="12:16" ht="15" hidden="1" customHeight="1">
      <c r="L738" s="43">
        <f t="shared" si="68"/>
        <v>45239</v>
      </c>
      <c r="M738" s="35">
        <f t="shared" si="69"/>
        <v>0</v>
      </c>
      <c r="N738" s="35">
        <f t="shared" si="70"/>
        <v>30000</v>
      </c>
      <c r="O738" s="35">
        <f t="shared" si="71"/>
        <v>1.2328767123287672</v>
      </c>
      <c r="P738" s="35">
        <f t="shared" si="72"/>
        <v>2.4657534246575343</v>
      </c>
    </row>
    <row r="739" spans="12:16" ht="15" hidden="1" customHeight="1">
      <c r="L739" s="43">
        <f t="shared" si="68"/>
        <v>45240</v>
      </c>
      <c r="M739" s="35">
        <f t="shared" si="69"/>
        <v>0</v>
      </c>
      <c r="N739" s="35">
        <f t="shared" si="70"/>
        <v>30000</v>
      </c>
      <c r="O739" s="35">
        <f t="shared" si="71"/>
        <v>1.2328767123287672</v>
      </c>
      <c r="P739" s="35">
        <f t="shared" si="72"/>
        <v>2.4657534246575343</v>
      </c>
    </row>
    <row r="740" spans="12:16" ht="15" hidden="1" customHeight="1">
      <c r="L740" s="43">
        <f t="shared" si="68"/>
        <v>45241</v>
      </c>
      <c r="M740" s="35">
        <f t="shared" si="69"/>
        <v>0</v>
      </c>
      <c r="N740" s="35">
        <f t="shared" si="70"/>
        <v>30000</v>
      </c>
      <c r="O740" s="35">
        <f t="shared" si="71"/>
        <v>1.2328767123287672</v>
      </c>
      <c r="P740" s="35">
        <f t="shared" si="72"/>
        <v>2.4657534246575343</v>
      </c>
    </row>
    <row r="741" spans="12:16" ht="15" hidden="1" customHeight="1">
      <c r="L741" s="43">
        <f t="shared" si="68"/>
        <v>45242</v>
      </c>
      <c r="M741" s="35">
        <f t="shared" si="69"/>
        <v>0</v>
      </c>
      <c r="N741" s="35">
        <f t="shared" si="70"/>
        <v>30000</v>
      </c>
      <c r="O741" s="35">
        <f t="shared" si="71"/>
        <v>1.2328767123287672</v>
      </c>
      <c r="P741" s="35">
        <f t="shared" si="72"/>
        <v>2.4657534246575343</v>
      </c>
    </row>
    <row r="742" spans="12:16" ht="15" hidden="1" customHeight="1">
      <c r="L742" s="43">
        <f t="shared" si="68"/>
        <v>45243</v>
      </c>
      <c r="M742" s="35">
        <f t="shared" si="69"/>
        <v>0</v>
      </c>
      <c r="N742" s="35">
        <f t="shared" si="70"/>
        <v>30000</v>
      </c>
      <c r="O742" s="35">
        <f t="shared" si="71"/>
        <v>1.2328767123287672</v>
      </c>
      <c r="P742" s="35">
        <f t="shared" si="72"/>
        <v>2.4657534246575343</v>
      </c>
    </row>
    <row r="743" spans="12:16" ht="15" hidden="1" customHeight="1">
      <c r="L743" s="43">
        <f t="shared" si="68"/>
        <v>45244</v>
      </c>
      <c r="M743" s="35">
        <f t="shared" si="69"/>
        <v>0</v>
      </c>
      <c r="N743" s="35">
        <f t="shared" si="70"/>
        <v>30000</v>
      </c>
      <c r="O743" s="35">
        <f t="shared" si="71"/>
        <v>1.2328767123287672</v>
      </c>
      <c r="P743" s="35">
        <f t="shared" si="72"/>
        <v>2.4657534246575343</v>
      </c>
    </row>
    <row r="744" spans="12:16" ht="15" hidden="1" customHeight="1">
      <c r="L744" s="43">
        <f t="shared" si="68"/>
        <v>45245</v>
      </c>
      <c r="M744" s="35">
        <f t="shared" si="69"/>
        <v>0</v>
      </c>
      <c r="N744" s="35">
        <f t="shared" si="70"/>
        <v>30000</v>
      </c>
      <c r="O744" s="35">
        <f t="shared" si="71"/>
        <v>1.2328767123287672</v>
      </c>
      <c r="P744" s="35">
        <f t="shared" si="72"/>
        <v>2.4657534246575343</v>
      </c>
    </row>
    <row r="745" spans="12:16" ht="15" hidden="1" customHeight="1">
      <c r="L745" s="43">
        <f t="shared" si="68"/>
        <v>45246</v>
      </c>
      <c r="M745" s="35">
        <f t="shared" si="69"/>
        <v>0</v>
      </c>
      <c r="N745" s="35">
        <f t="shared" si="70"/>
        <v>30000</v>
      </c>
      <c r="O745" s="35">
        <f t="shared" si="71"/>
        <v>1.2328767123287672</v>
      </c>
      <c r="P745" s="35">
        <f t="shared" si="72"/>
        <v>2.4657534246575343</v>
      </c>
    </row>
    <row r="746" spans="12:16" ht="15" hidden="1" customHeight="1">
      <c r="L746" s="43">
        <f t="shared" si="68"/>
        <v>45247</v>
      </c>
      <c r="M746" s="35">
        <f t="shared" si="69"/>
        <v>0</v>
      </c>
      <c r="N746" s="35">
        <f t="shared" si="70"/>
        <v>30000</v>
      </c>
      <c r="O746" s="35">
        <f t="shared" si="71"/>
        <v>1.2328767123287672</v>
      </c>
      <c r="P746" s="35">
        <f t="shared" si="72"/>
        <v>2.4657534246575343</v>
      </c>
    </row>
    <row r="747" spans="12:16" ht="15" hidden="1" customHeight="1">
      <c r="L747" s="43">
        <f t="shared" si="68"/>
        <v>45248</v>
      </c>
      <c r="M747" s="35">
        <f t="shared" si="69"/>
        <v>0</v>
      </c>
      <c r="N747" s="35">
        <f t="shared" si="70"/>
        <v>30000</v>
      </c>
      <c r="O747" s="35">
        <f t="shared" si="71"/>
        <v>1.2328767123287672</v>
      </c>
      <c r="P747" s="35">
        <f t="shared" si="72"/>
        <v>2.4657534246575343</v>
      </c>
    </row>
    <row r="748" spans="12:16" ht="15" hidden="1" customHeight="1">
      <c r="L748" s="43">
        <f t="shared" si="68"/>
        <v>45249</v>
      </c>
      <c r="M748" s="35">
        <f t="shared" si="69"/>
        <v>0</v>
      </c>
      <c r="N748" s="35">
        <f t="shared" si="70"/>
        <v>30000</v>
      </c>
      <c r="O748" s="35">
        <f t="shared" si="71"/>
        <v>1.2328767123287672</v>
      </c>
      <c r="P748" s="35">
        <f t="shared" si="72"/>
        <v>2.4657534246575343</v>
      </c>
    </row>
    <row r="749" spans="12:16" ht="15" hidden="1" customHeight="1">
      <c r="L749" s="43">
        <f t="shared" si="68"/>
        <v>45250</v>
      </c>
      <c r="M749" s="35">
        <f t="shared" si="69"/>
        <v>0</v>
      </c>
      <c r="N749" s="35">
        <f t="shared" si="70"/>
        <v>30000</v>
      </c>
      <c r="O749" s="35">
        <f t="shared" si="71"/>
        <v>1.2328767123287672</v>
      </c>
      <c r="P749" s="35">
        <f t="shared" si="72"/>
        <v>2.4657534246575343</v>
      </c>
    </row>
    <row r="750" spans="12:16" ht="15" hidden="1" customHeight="1">
      <c r="L750" s="43">
        <f t="shared" si="68"/>
        <v>45251</v>
      </c>
      <c r="M750" s="35">
        <f t="shared" si="69"/>
        <v>0</v>
      </c>
      <c r="N750" s="35">
        <f t="shared" si="70"/>
        <v>30000</v>
      </c>
      <c r="O750" s="35">
        <f t="shared" si="71"/>
        <v>1.2328767123287672</v>
      </c>
      <c r="P750" s="35">
        <f t="shared" si="72"/>
        <v>2.4657534246575343</v>
      </c>
    </row>
    <row r="751" spans="12:16" ht="15" hidden="1" customHeight="1">
      <c r="L751" s="43">
        <f t="shared" si="68"/>
        <v>45252</v>
      </c>
      <c r="M751" s="35">
        <f t="shared" si="69"/>
        <v>0</v>
      </c>
      <c r="N751" s="35">
        <f t="shared" si="70"/>
        <v>30000</v>
      </c>
      <c r="O751" s="35">
        <f t="shared" si="71"/>
        <v>1.2328767123287672</v>
      </c>
      <c r="P751" s="35">
        <f t="shared" si="72"/>
        <v>2.4657534246575343</v>
      </c>
    </row>
    <row r="752" spans="12:16" ht="15" hidden="1" customHeight="1">
      <c r="L752" s="43">
        <f t="shared" si="68"/>
        <v>45253</v>
      </c>
      <c r="M752" s="35">
        <f t="shared" si="69"/>
        <v>0</v>
      </c>
      <c r="N752" s="35">
        <f t="shared" si="70"/>
        <v>30000</v>
      </c>
      <c r="O752" s="35">
        <f t="shared" si="71"/>
        <v>1.2328767123287672</v>
      </c>
      <c r="P752" s="35">
        <f t="shared" si="72"/>
        <v>2.4657534246575343</v>
      </c>
    </row>
    <row r="753" spans="12:16" ht="15" hidden="1" customHeight="1">
      <c r="L753" s="43">
        <f t="shared" si="68"/>
        <v>45254</v>
      </c>
      <c r="M753" s="35">
        <f t="shared" si="69"/>
        <v>0</v>
      </c>
      <c r="N753" s="35">
        <f t="shared" si="70"/>
        <v>30000</v>
      </c>
      <c r="O753" s="35">
        <f t="shared" si="71"/>
        <v>1.2328767123287672</v>
      </c>
      <c r="P753" s="35">
        <f t="shared" si="72"/>
        <v>2.4657534246575343</v>
      </c>
    </row>
    <row r="754" spans="12:16" ht="15" hidden="1" customHeight="1">
      <c r="L754" s="43">
        <f t="shared" si="68"/>
        <v>45255</v>
      </c>
      <c r="M754" s="35">
        <f t="shared" si="69"/>
        <v>0</v>
      </c>
      <c r="N754" s="35">
        <f t="shared" si="70"/>
        <v>30000</v>
      </c>
      <c r="O754" s="35">
        <f t="shared" si="71"/>
        <v>1.2328767123287672</v>
      </c>
      <c r="P754" s="35">
        <f t="shared" si="72"/>
        <v>2.4657534246575343</v>
      </c>
    </row>
    <row r="755" spans="12:16" ht="15" hidden="1" customHeight="1">
      <c r="L755" s="43">
        <f t="shared" si="68"/>
        <v>45256</v>
      </c>
      <c r="M755" s="35">
        <f t="shared" si="69"/>
        <v>0</v>
      </c>
      <c r="N755" s="35">
        <f t="shared" si="70"/>
        <v>30000</v>
      </c>
      <c r="O755" s="35">
        <f t="shared" si="71"/>
        <v>1.2328767123287672</v>
      </c>
      <c r="P755" s="35">
        <f t="shared" si="72"/>
        <v>2.4657534246575343</v>
      </c>
    </row>
    <row r="756" spans="12:16" ht="15" hidden="1" customHeight="1">
      <c r="L756" s="43">
        <f t="shared" si="68"/>
        <v>45257</v>
      </c>
      <c r="M756" s="35">
        <f t="shared" si="69"/>
        <v>0</v>
      </c>
      <c r="N756" s="35">
        <f t="shared" si="70"/>
        <v>30000</v>
      </c>
      <c r="O756" s="35">
        <f t="shared" si="71"/>
        <v>1.2328767123287672</v>
      </c>
      <c r="P756" s="35">
        <f t="shared" si="72"/>
        <v>2.4657534246575343</v>
      </c>
    </row>
    <row r="757" spans="12:16" ht="15" hidden="1" customHeight="1">
      <c r="L757" s="43">
        <f t="shared" si="68"/>
        <v>45258</v>
      </c>
      <c r="M757" s="35">
        <f t="shared" si="69"/>
        <v>0</v>
      </c>
      <c r="N757" s="35">
        <f t="shared" si="70"/>
        <v>30000</v>
      </c>
      <c r="O757" s="35">
        <f t="shared" si="71"/>
        <v>1.2328767123287672</v>
      </c>
      <c r="P757" s="35">
        <f t="shared" si="72"/>
        <v>2.4657534246575343</v>
      </c>
    </row>
    <row r="758" spans="12:16" ht="15" hidden="1" customHeight="1">
      <c r="L758" s="43">
        <f t="shared" si="68"/>
        <v>45259</v>
      </c>
      <c r="M758" s="35">
        <f t="shared" si="69"/>
        <v>0</v>
      </c>
      <c r="N758" s="35">
        <f t="shared" si="70"/>
        <v>30000</v>
      </c>
      <c r="O758" s="35">
        <f t="shared" si="71"/>
        <v>1.2328767123287672</v>
      </c>
      <c r="P758" s="35">
        <f t="shared" si="72"/>
        <v>2.4657534246575343</v>
      </c>
    </row>
    <row r="759" spans="12:16" ht="15" hidden="1" customHeight="1">
      <c r="L759" s="43">
        <f t="shared" si="68"/>
        <v>45260</v>
      </c>
      <c r="M759" s="35">
        <f t="shared" si="69"/>
        <v>0</v>
      </c>
      <c r="N759" s="35">
        <f t="shared" si="70"/>
        <v>30000</v>
      </c>
      <c r="O759" s="35">
        <f t="shared" si="71"/>
        <v>1.2328767123287672</v>
      </c>
      <c r="P759" s="35">
        <f t="shared" si="72"/>
        <v>2.4657534246575343</v>
      </c>
    </row>
    <row r="760" spans="12:16" ht="15" hidden="1" customHeight="1">
      <c r="L760" s="43">
        <f t="shared" si="68"/>
        <v>45261</v>
      </c>
      <c r="M760" s="35">
        <f t="shared" si="69"/>
        <v>0</v>
      </c>
      <c r="N760" s="35">
        <f t="shared" si="70"/>
        <v>30000</v>
      </c>
      <c r="O760" s="35">
        <f t="shared" si="71"/>
        <v>1.2328767123287672</v>
      </c>
      <c r="P760" s="35">
        <f t="shared" si="72"/>
        <v>2.4657534246575343</v>
      </c>
    </row>
    <row r="761" spans="12:16" ht="15" hidden="1" customHeight="1">
      <c r="L761" s="43">
        <f t="shared" si="68"/>
        <v>45262</v>
      </c>
      <c r="M761" s="35">
        <f t="shared" si="69"/>
        <v>0</v>
      </c>
      <c r="N761" s="35">
        <f t="shared" si="70"/>
        <v>30000</v>
      </c>
      <c r="O761" s="35">
        <f t="shared" si="71"/>
        <v>1.2328767123287672</v>
      </c>
      <c r="P761" s="35">
        <f t="shared" si="72"/>
        <v>2.4657534246575343</v>
      </c>
    </row>
    <row r="762" spans="12:16" ht="15" hidden="1" customHeight="1">
      <c r="L762" s="43">
        <f t="shared" si="68"/>
        <v>45263</v>
      </c>
      <c r="M762" s="35">
        <f t="shared" si="69"/>
        <v>0</v>
      </c>
      <c r="N762" s="35">
        <f t="shared" si="70"/>
        <v>30000</v>
      </c>
      <c r="O762" s="35">
        <f t="shared" si="71"/>
        <v>1.2328767123287672</v>
      </c>
      <c r="P762" s="35">
        <f t="shared" si="72"/>
        <v>2.4657534246575343</v>
      </c>
    </row>
    <row r="763" spans="12:16" ht="15" hidden="1" customHeight="1">
      <c r="L763" s="43">
        <f t="shared" si="68"/>
        <v>45264</v>
      </c>
      <c r="M763" s="35">
        <f t="shared" si="69"/>
        <v>0</v>
      </c>
      <c r="N763" s="35">
        <f t="shared" si="70"/>
        <v>30000</v>
      </c>
      <c r="O763" s="35">
        <f t="shared" si="71"/>
        <v>1.2328767123287672</v>
      </c>
      <c r="P763" s="35">
        <f t="shared" si="72"/>
        <v>2.4657534246575343</v>
      </c>
    </row>
    <row r="764" spans="12:16" ht="15" hidden="1" customHeight="1">
      <c r="L764" s="43">
        <f t="shared" si="68"/>
        <v>45265</v>
      </c>
      <c r="M764" s="35">
        <f t="shared" si="69"/>
        <v>0</v>
      </c>
      <c r="N764" s="35">
        <f t="shared" si="70"/>
        <v>30000</v>
      </c>
      <c r="O764" s="35">
        <f t="shared" si="71"/>
        <v>1.2328767123287672</v>
      </c>
      <c r="P764" s="35">
        <f t="shared" si="72"/>
        <v>2.4657534246575343</v>
      </c>
    </row>
    <row r="765" spans="12:16" ht="15" hidden="1" customHeight="1">
      <c r="L765" s="43">
        <f t="shared" si="68"/>
        <v>45266</v>
      </c>
      <c r="M765" s="35">
        <f t="shared" si="69"/>
        <v>0</v>
      </c>
      <c r="N765" s="35">
        <f t="shared" si="70"/>
        <v>30000</v>
      </c>
      <c r="O765" s="35">
        <f t="shared" si="71"/>
        <v>1.2328767123287672</v>
      </c>
      <c r="P765" s="35">
        <f t="shared" si="72"/>
        <v>2.4657534246575343</v>
      </c>
    </row>
    <row r="766" spans="12:16" ht="15" hidden="1" customHeight="1">
      <c r="L766" s="43">
        <f t="shared" si="68"/>
        <v>45267</v>
      </c>
      <c r="M766" s="35">
        <f t="shared" si="69"/>
        <v>0</v>
      </c>
      <c r="N766" s="35">
        <f t="shared" si="70"/>
        <v>30000</v>
      </c>
      <c r="O766" s="35">
        <f t="shared" si="71"/>
        <v>1.2328767123287672</v>
      </c>
      <c r="P766" s="35">
        <f t="shared" si="72"/>
        <v>2.4657534246575343</v>
      </c>
    </row>
    <row r="767" spans="12:16" ht="15" hidden="1" customHeight="1">
      <c r="L767" s="43">
        <f t="shared" si="68"/>
        <v>45268</v>
      </c>
      <c r="M767" s="35">
        <f t="shared" si="69"/>
        <v>0</v>
      </c>
      <c r="N767" s="35">
        <f t="shared" si="70"/>
        <v>30000</v>
      </c>
      <c r="O767" s="35">
        <f t="shared" si="71"/>
        <v>1.2328767123287672</v>
      </c>
      <c r="P767" s="35">
        <f t="shared" si="72"/>
        <v>2.4657534246575343</v>
      </c>
    </row>
    <row r="768" spans="12:16" ht="15" hidden="1" customHeight="1">
      <c r="L768" s="43">
        <f t="shared" si="68"/>
        <v>45269</v>
      </c>
      <c r="M768" s="35">
        <f t="shared" si="69"/>
        <v>0</v>
      </c>
      <c r="N768" s="35">
        <f t="shared" si="70"/>
        <v>30000</v>
      </c>
      <c r="O768" s="35">
        <f t="shared" si="71"/>
        <v>1.2328767123287672</v>
      </c>
      <c r="P768" s="35">
        <f t="shared" si="72"/>
        <v>2.4657534246575343</v>
      </c>
    </row>
    <row r="769" spans="12:16" ht="15" hidden="1" customHeight="1">
      <c r="L769" s="43">
        <f t="shared" si="68"/>
        <v>45270</v>
      </c>
      <c r="M769" s="35">
        <f t="shared" si="69"/>
        <v>0</v>
      </c>
      <c r="N769" s="35">
        <f t="shared" si="70"/>
        <v>30000</v>
      </c>
      <c r="O769" s="35">
        <f t="shared" si="71"/>
        <v>1.2328767123287672</v>
      </c>
      <c r="P769" s="35">
        <f t="shared" si="72"/>
        <v>2.4657534246575343</v>
      </c>
    </row>
    <row r="770" spans="12:16" ht="15" hidden="1" customHeight="1">
      <c r="L770" s="43">
        <f t="shared" si="68"/>
        <v>45271</v>
      </c>
      <c r="M770" s="35">
        <f t="shared" si="69"/>
        <v>0</v>
      </c>
      <c r="N770" s="35">
        <f t="shared" si="70"/>
        <v>30000</v>
      </c>
      <c r="O770" s="35">
        <f t="shared" si="71"/>
        <v>1.2328767123287672</v>
      </c>
      <c r="P770" s="35">
        <f t="shared" si="72"/>
        <v>2.4657534246575343</v>
      </c>
    </row>
    <row r="771" spans="12:16" ht="15" hidden="1" customHeight="1">
      <c r="L771" s="43">
        <f t="shared" si="68"/>
        <v>45272</v>
      </c>
      <c r="M771" s="35">
        <f t="shared" si="69"/>
        <v>0</v>
      </c>
      <c r="N771" s="35">
        <f t="shared" si="70"/>
        <v>30000</v>
      </c>
      <c r="O771" s="35">
        <f t="shared" si="71"/>
        <v>1.2328767123287672</v>
      </c>
      <c r="P771" s="35">
        <f t="shared" si="72"/>
        <v>2.4657534246575343</v>
      </c>
    </row>
    <row r="772" spans="12:16" ht="15" hidden="1" customHeight="1">
      <c r="L772" s="43">
        <f t="shared" si="68"/>
        <v>45273</v>
      </c>
      <c r="M772" s="35">
        <f t="shared" si="69"/>
        <v>0</v>
      </c>
      <c r="N772" s="35">
        <f t="shared" si="70"/>
        <v>30000</v>
      </c>
      <c r="O772" s="35">
        <f t="shared" si="71"/>
        <v>1.2328767123287672</v>
      </c>
      <c r="P772" s="35">
        <f t="shared" si="72"/>
        <v>2.4657534246575343</v>
      </c>
    </row>
    <row r="773" spans="12:16" ht="15" hidden="1" customHeight="1">
      <c r="L773" s="43">
        <f t="shared" si="68"/>
        <v>45274</v>
      </c>
      <c r="M773" s="35">
        <f t="shared" si="69"/>
        <v>0</v>
      </c>
      <c r="N773" s="35">
        <f t="shared" si="70"/>
        <v>30000</v>
      </c>
      <c r="O773" s="35">
        <f t="shared" si="71"/>
        <v>1.2328767123287672</v>
      </c>
      <c r="P773" s="35">
        <f t="shared" si="72"/>
        <v>2.4657534246575343</v>
      </c>
    </row>
    <row r="774" spans="12:16" ht="15" hidden="1" customHeight="1">
      <c r="L774" s="43">
        <f t="shared" si="68"/>
        <v>45275</v>
      </c>
      <c r="M774" s="35">
        <f t="shared" si="69"/>
        <v>0</v>
      </c>
      <c r="N774" s="35">
        <f t="shared" si="70"/>
        <v>30000</v>
      </c>
      <c r="O774" s="35">
        <f t="shared" si="71"/>
        <v>1.2328767123287672</v>
      </c>
      <c r="P774" s="35">
        <f t="shared" si="72"/>
        <v>2.4657534246575343</v>
      </c>
    </row>
    <row r="775" spans="12:16" ht="15" hidden="1" customHeight="1">
      <c r="L775" s="43">
        <f t="shared" si="68"/>
        <v>45276</v>
      </c>
      <c r="M775" s="35">
        <f t="shared" si="69"/>
        <v>0</v>
      </c>
      <c r="N775" s="35">
        <f t="shared" si="70"/>
        <v>30000</v>
      </c>
      <c r="O775" s="35">
        <f t="shared" si="71"/>
        <v>1.2328767123287672</v>
      </c>
      <c r="P775" s="35">
        <f t="shared" si="72"/>
        <v>2.4657534246575343</v>
      </c>
    </row>
    <row r="776" spans="12:16" ht="15" hidden="1" customHeight="1">
      <c r="L776" s="43">
        <f t="shared" si="68"/>
        <v>45277</v>
      </c>
      <c r="M776" s="35">
        <f t="shared" si="69"/>
        <v>0</v>
      </c>
      <c r="N776" s="35">
        <f t="shared" si="70"/>
        <v>30000</v>
      </c>
      <c r="O776" s="35">
        <f t="shared" si="71"/>
        <v>1.2328767123287672</v>
      </c>
      <c r="P776" s="35">
        <f t="shared" si="72"/>
        <v>2.4657534246575343</v>
      </c>
    </row>
    <row r="777" spans="12:16" ht="15" hidden="1" customHeight="1">
      <c r="L777" s="43">
        <f t="shared" si="68"/>
        <v>45278</v>
      </c>
      <c r="M777" s="35">
        <f t="shared" si="69"/>
        <v>0</v>
      </c>
      <c r="N777" s="35">
        <f t="shared" si="70"/>
        <v>30000</v>
      </c>
      <c r="O777" s="35">
        <f t="shared" si="71"/>
        <v>1.2328767123287672</v>
      </c>
      <c r="P777" s="35">
        <f t="shared" si="72"/>
        <v>2.4657534246575343</v>
      </c>
    </row>
    <row r="778" spans="12:16" ht="15" hidden="1" customHeight="1">
      <c r="L778" s="43">
        <f t="shared" si="68"/>
        <v>45279</v>
      </c>
      <c r="M778" s="35">
        <f t="shared" si="69"/>
        <v>0</v>
      </c>
      <c r="N778" s="35">
        <f t="shared" si="70"/>
        <v>30000</v>
      </c>
      <c r="O778" s="35">
        <f t="shared" si="71"/>
        <v>1.2328767123287672</v>
      </c>
      <c r="P778" s="35">
        <f t="shared" si="72"/>
        <v>2.4657534246575343</v>
      </c>
    </row>
    <row r="779" spans="12:16" ht="15" hidden="1" customHeight="1">
      <c r="L779" s="43">
        <f t="shared" si="68"/>
        <v>45280</v>
      </c>
      <c r="M779" s="35">
        <f t="shared" si="69"/>
        <v>0</v>
      </c>
      <c r="N779" s="35">
        <f t="shared" si="70"/>
        <v>30000</v>
      </c>
      <c r="O779" s="35">
        <f t="shared" si="71"/>
        <v>1.2328767123287672</v>
      </c>
      <c r="P779" s="35">
        <f t="shared" si="72"/>
        <v>2.4657534246575343</v>
      </c>
    </row>
    <row r="780" spans="12:16" ht="15" hidden="1" customHeight="1">
      <c r="L780" s="43">
        <f t="shared" si="68"/>
        <v>45281</v>
      </c>
      <c r="M780" s="35">
        <f t="shared" si="69"/>
        <v>0</v>
      </c>
      <c r="N780" s="35">
        <f t="shared" si="70"/>
        <v>30000</v>
      </c>
      <c r="O780" s="35">
        <f t="shared" si="71"/>
        <v>1.2328767123287672</v>
      </c>
      <c r="P780" s="35">
        <f t="shared" si="72"/>
        <v>2.4657534246575343</v>
      </c>
    </row>
    <row r="781" spans="12:16" ht="15" hidden="1" customHeight="1">
      <c r="L781" s="43">
        <f t="shared" si="68"/>
        <v>45282</v>
      </c>
      <c r="M781" s="35">
        <f t="shared" si="69"/>
        <v>0</v>
      </c>
      <c r="N781" s="35">
        <f t="shared" si="70"/>
        <v>30000</v>
      </c>
      <c r="O781" s="35">
        <f t="shared" si="71"/>
        <v>1.2328767123287672</v>
      </c>
      <c r="P781" s="35">
        <f t="shared" si="72"/>
        <v>2.4657534246575343</v>
      </c>
    </row>
    <row r="782" spans="12:16" ht="15" hidden="1" customHeight="1">
      <c r="L782" s="43">
        <f t="shared" si="68"/>
        <v>45283</v>
      </c>
      <c r="M782" s="35">
        <f t="shared" si="69"/>
        <v>0</v>
      </c>
      <c r="N782" s="35">
        <f t="shared" si="70"/>
        <v>30000</v>
      </c>
      <c r="O782" s="35">
        <f t="shared" si="71"/>
        <v>1.2328767123287672</v>
      </c>
      <c r="P782" s="35">
        <f t="shared" si="72"/>
        <v>2.4657534246575343</v>
      </c>
    </row>
    <row r="783" spans="12:16" ht="15" hidden="1" customHeight="1">
      <c r="L783" s="43">
        <f t="shared" si="68"/>
        <v>45284</v>
      </c>
      <c r="M783" s="35">
        <f t="shared" si="69"/>
        <v>0</v>
      </c>
      <c r="N783" s="35">
        <f t="shared" si="70"/>
        <v>30000</v>
      </c>
      <c r="O783" s="35">
        <f t="shared" si="71"/>
        <v>1.2328767123287672</v>
      </c>
      <c r="P783" s="35">
        <f t="shared" si="72"/>
        <v>2.4657534246575343</v>
      </c>
    </row>
    <row r="784" spans="12:16" ht="15" hidden="1" customHeight="1">
      <c r="L784" s="43">
        <f t="shared" si="68"/>
        <v>45285</v>
      </c>
      <c r="M784" s="35">
        <f t="shared" si="69"/>
        <v>0</v>
      </c>
      <c r="N784" s="35">
        <f t="shared" si="70"/>
        <v>30000</v>
      </c>
      <c r="O784" s="35">
        <f t="shared" si="71"/>
        <v>1.2328767123287672</v>
      </c>
      <c r="P784" s="35">
        <f t="shared" si="72"/>
        <v>2.4657534246575343</v>
      </c>
    </row>
    <row r="785" spans="12:16" ht="15" hidden="1" customHeight="1">
      <c r="L785" s="43">
        <f t="shared" si="68"/>
        <v>45286</v>
      </c>
      <c r="M785" s="35">
        <f t="shared" si="69"/>
        <v>0</v>
      </c>
      <c r="N785" s="35">
        <f t="shared" si="70"/>
        <v>30000</v>
      </c>
      <c r="O785" s="35">
        <f t="shared" si="71"/>
        <v>1.2328767123287672</v>
      </c>
      <c r="P785" s="35">
        <f t="shared" si="72"/>
        <v>2.4657534246575343</v>
      </c>
    </row>
    <row r="786" spans="12:16" ht="15" hidden="1" customHeight="1">
      <c r="L786" s="43">
        <f t="shared" si="68"/>
        <v>45287</v>
      </c>
      <c r="M786" s="35">
        <f t="shared" si="69"/>
        <v>0</v>
      </c>
      <c r="N786" s="35">
        <f t="shared" si="70"/>
        <v>30000</v>
      </c>
      <c r="O786" s="35">
        <f t="shared" si="71"/>
        <v>1.2328767123287672</v>
      </c>
      <c r="P786" s="35">
        <f t="shared" si="72"/>
        <v>2.4657534246575343</v>
      </c>
    </row>
    <row r="787" spans="12:16" ht="15" hidden="1" customHeight="1">
      <c r="L787" s="43">
        <f t="shared" si="68"/>
        <v>45288</v>
      </c>
      <c r="M787" s="35">
        <f t="shared" si="69"/>
        <v>0</v>
      </c>
      <c r="N787" s="35">
        <f t="shared" si="70"/>
        <v>30000</v>
      </c>
      <c r="O787" s="35">
        <f t="shared" si="71"/>
        <v>1.2328767123287672</v>
      </c>
      <c r="P787" s="35">
        <f t="shared" si="72"/>
        <v>2.4657534246575343</v>
      </c>
    </row>
    <row r="788" spans="12:16" ht="15" hidden="1" customHeight="1">
      <c r="L788" s="43">
        <f t="shared" si="68"/>
        <v>45289</v>
      </c>
      <c r="M788" s="35">
        <f t="shared" si="69"/>
        <v>0</v>
      </c>
      <c r="N788" s="35">
        <f t="shared" si="70"/>
        <v>30000</v>
      </c>
      <c r="O788" s="35">
        <f t="shared" si="71"/>
        <v>1.2328767123287672</v>
      </c>
      <c r="P788" s="35">
        <f t="shared" si="72"/>
        <v>2.4657534246575343</v>
      </c>
    </row>
    <row r="789" spans="12:16" ht="15" hidden="1" customHeight="1">
      <c r="L789" s="43">
        <f t="shared" si="68"/>
        <v>45290</v>
      </c>
      <c r="M789" s="35">
        <f t="shared" si="69"/>
        <v>0</v>
      </c>
      <c r="N789" s="35">
        <f t="shared" si="70"/>
        <v>30000</v>
      </c>
      <c r="O789" s="35">
        <f t="shared" si="71"/>
        <v>1.2328767123287672</v>
      </c>
      <c r="P789" s="35">
        <f t="shared" si="72"/>
        <v>2.4657534246575343</v>
      </c>
    </row>
    <row r="790" spans="12:16" ht="15" hidden="1" customHeight="1">
      <c r="L790" s="43">
        <f t="shared" si="68"/>
        <v>45291</v>
      </c>
      <c r="M790" s="35">
        <f t="shared" si="69"/>
        <v>0</v>
      </c>
      <c r="N790" s="35">
        <f t="shared" si="70"/>
        <v>30000</v>
      </c>
      <c r="O790" s="35">
        <f t="shared" si="71"/>
        <v>1.2328767123287672</v>
      </c>
      <c r="P790" s="35">
        <f t="shared" si="72"/>
        <v>2.4657534246575343</v>
      </c>
    </row>
    <row r="791" spans="12:16" ht="15" hidden="1" customHeight="1">
      <c r="L791" s="43">
        <f t="shared" si="68"/>
        <v>45292</v>
      </c>
      <c r="M791" s="35">
        <f t="shared" si="69"/>
        <v>0</v>
      </c>
      <c r="N791" s="35">
        <f t="shared" si="70"/>
        <v>30000</v>
      </c>
      <c r="O791" s="35">
        <f t="shared" si="71"/>
        <v>1.2295081967213115</v>
      </c>
      <c r="P791" s="35">
        <f t="shared" si="72"/>
        <v>2.459016393442623</v>
      </c>
    </row>
    <row r="792" spans="12:16" ht="15" hidden="1" customHeight="1">
      <c r="L792" s="43">
        <f t="shared" si="68"/>
        <v>45293</v>
      </c>
      <c r="M792" s="35">
        <f t="shared" si="69"/>
        <v>0</v>
      </c>
      <c r="N792" s="35">
        <f t="shared" si="70"/>
        <v>30000</v>
      </c>
      <c r="O792" s="35">
        <f t="shared" si="71"/>
        <v>1.2295081967213115</v>
      </c>
      <c r="P792" s="35">
        <f t="shared" si="72"/>
        <v>2.459016393442623</v>
      </c>
    </row>
    <row r="793" spans="12:16" ht="15" hidden="1" customHeight="1">
      <c r="L793" s="43">
        <f t="shared" si="68"/>
        <v>45294</v>
      </c>
      <c r="M793" s="35">
        <f t="shared" si="69"/>
        <v>0</v>
      </c>
      <c r="N793" s="35">
        <f t="shared" si="70"/>
        <v>30000</v>
      </c>
      <c r="O793" s="35">
        <f t="shared" si="71"/>
        <v>1.2295081967213115</v>
      </c>
      <c r="P793" s="35">
        <f t="shared" si="72"/>
        <v>2.459016393442623</v>
      </c>
    </row>
    <row r="794" spans="12:16" ht="15" hidden="1" customHeight="1">
      <c r="L794" s="43">
        <f t="shared" si="68"/>
        <v>45295</v>
      </c>
      <c r="M794" s="35">
        <f t="shared" si="69"/>
        <v>0</v>
      </c>
      <c r="N794" s="35">
        <f t="shared" si="70"/>
        <v>30000</v>
      </c>
      <c r="O794" s="35">
        <f t="shared" si="71"/>
        <v>1.2295081967213115</v>
      </c>
      <c r="P794" s="35">
        <f t="shared" si="72"/>
        <v>2.459016393442623</v>
      </c>
    </row>
    <row r="795" spans="12:16" ht="15" hidden="1" customHeight="1">
      <c r="L795" s="43">
        <f t="shared" si="68"/>
        <v>45296</v>
      </c>
      <c r="M795" s="35">
        <f t="shared" si="69"/>
        <v>0</v>
      </c>
      <c r="N795" s="35">
        <f t="shared" si="70"/>
        <v>30000</v>
      </c>
      <c r="O795" s="35">
        <f t="shared" si="71"/>
        <v>1.2295081967213115</v>
      </c>
      <c r="P795" s="35">
        <f t="shared" si="72"/>
        <v>2.459016393442623</v>
      </c>
    </row>
    <row r="796" spans="12:16" ht="15" hidden="1" customHeight="1">
      <c r="L796" s="43">
        <f t="shared" si="68"/>
        <v>45297</v>
      </c>
      <c r="M796" s="35">
        <f t="shared" si="69"/>
        <v>0</v>
      </c>
      <c r="N796" s="35">
        <f t="shared" si="70"/>
        <v>30000</v>
      </c>
      <c r="O796" s="35">
        <f t="shared" si="71"/>
        <v>1.2295081967213115</v>
      </c>
      <c r="P796" s="35">
        <f t="shared" si="72"/>
        <v>2.459016393442623</v>
      </c>
    </row>
    <row r="797" spans="12:16" ht="15" hidden="1" customHeight="1">
      <c r="L797" s="43">
        <f t="shared" si="68"/>
        <v>45298</v>
      </c>
      <c r="M797" s="35">
        <f t="shared" si="69"/>
        <v>0</v>
      </c>
      <c r="N797" s="35">
        <f t="shared" si="70"/>
        <v>30000</v>
      </c>
      <c r="O797" s="35">
        <f t="shared" si="71"/>
        <v>1.2295081967213115</v>
      </c>
      <c r="P797" s="35">
        <f t="shared" si="72"/>
        <v>2.459016393442623</v>
      </c>
    </row>
    <row r="798" spans="12:16" ht="15" hidden="1" customHeight="1">
      <c r="L798" s="43">
        <f t="shared" si="68"/>
        <v>45299</v>
      </c>
      <c r="M798" s="35">
        <f t="shared" si="69"/>
        <v>0</v>
      </c>
      <c r="N798" s="35">
        <f t="shared" si="70"/>
        <v>30000</v>
      </c>
      <c r="O798" s="35">
        <f t="shared" si="71"/>
        <v>1.2295081967213115</v>
      </c>
      <c r="P798" s="35">
        <f t="shared" si="72"/>
        <v>2.459016393442623</v>
      </c>
    </row>
    <row r="799" spans="12:16" ht="15" hidden="1" customHeight="1">
      <c r="L799" s="43">
        <f t="shared" ref="L799:L862" si="73">IFERROR(IF(MAX(L798+1,Дата_получения_Займа+1)&gt;Дата_погашения_Займа,"-",MAX(L798+1,Дата_получения_Займа+1)),"-")</f>
        <v>45300</v>
      </c>
      <c r="M799" s="35">
        <f t="shared" ref="M799:M862" si="74">IFERROR(VLOOKUP(L799,$B$31:$E$59,4,FALSE),0)</f>
        <v>0</v>
      </c>
      <c r="N799" s="35">
        <f t="shared" ref="N799:N862" si="75">IF(ISNUMBER(N798),N798-M799,$E$20)</f>
        <v>30000</v>
      </c>
      <c r="O799" s="35">
        <f t="shared" ref="O799:O862" si="76">IFERROR(IF(ISNUMBER(N798),N798,$E$20)*IF(L799&gt;=$J$20,$E$25,$E$24)/IF(MOD(YEAR(L799),4),365,366)*IF(ISBLANK(L798),L799-$E$22,L799-L798),0)</f>
        <v>1.2295081967213115</v>
      </c>
      <c r="P799" s="35">
        <f t="shared" ref="P799:P862" si="77">IFERROR(IF(ISNUMBER(N798),N798,$E$20)*3%/IF(MOD(YEAR(L799),4),365,366)*IF(ISBLANK(L798),(L799-$E$22),L799-L798),0)</f>
        <v>2.459016393442623</v>
      </c>
    </row>
    <row r="800" spans="12:16" ht="15" hidden="1" customHeight="1">
      <c r="L800" s="43">
        <f t="shared" si="73"/>
        <v>45301</v>
      </c>
      <c r="M800" s="35">
        <f t="shared" si="74"/>
        <v>0</v>
      </c>
      <c r="N800" s="35">
        <f t="shared" si="75"/>
        <v>30000</v>
      </c>
      <c r="O800" s="35">
        <f t="shared" si="76"/>
        <v>1.2295081967213115</v>
      </c>
      <c r="P800" s="35">
        <f t="shared" si="77"/>
        <v>2.459016393442623</v>
      </c>
    </row>
    <row r="801" spans="12:16" ht="15" hidden="1" customHeight="1">
      <c r="L801" s="43">
        <f t="shared" si="73"/>
        <v>45302</v>
      </c>
      <c r="M801" s="35">
        <f t="shared" si="74"/>
        <v>0</v>
      </c>
      <c r="N801" s="35">
        <f t="shared" si="75"/>
        <v>30000</v>
      </c>
      <c r="O801" s="35">
        <f t="shared" si="76"/>
        <v>1.2295081967213115</v>
      </c>
      <c r="P801" s="35">
        <f t="shared" si="77"/>
        <v>2.459016393442623</v>
      </c>
    </row>
    <row r="802" spans="12:16" ht="15" hidden="1" customHeight="1">
      <c r="L802" s="43">
        <f t="shared" si="73"/>
        <v>45303</v>
      </c>
      <c r="M802" s="35">
        <f t="shared" si="74"/>
        <v>0</v>
      </c>
      <c r="N802" s="35">
        <f t="shared" si="75"/>
        <v>30000</v>
      </c>
      <c r="O802" s="35">
        <f t="shared" si="76"/>
        <v>1.2295081967213115</v>
      </c>
      <c r="P802" s="35">
        <f t="shared" si="77"/>
        <v>2.459016393442623</v>
      </c>
    </row>
    <row r="803" spans="12:16" ht="15" hidden="1" customHeight="1">
      <c r="L803" s="43">
        <f t="shared" si="73"/>
        <v>45304</v>
      </c>
      <c r="M803" s="35">
        <f t="shared" si="74"/>
        <v>0</v>
      </c>
      <c r="N803" s="35">
        <f t="shared" si="75"/>
        <v>30000</v>
      </c>
      <c r="O803" s="35">
        <f t="shared" si="76"/>
        <v>1.2295081967213115</v>
      </c>
      <c r="P803" s="35">
        <f t="shared" si="77"/>
        <v>2.459016393442623</v>
      </c>
    </row>
    <row r="804" spans="12:16" ht="15" hidden="1" customHeight="1">
      <c r="L804" s="43">
        <f t="shared" si="73"/>
        <v>45305</v>
      </c>
      <c r="M804" s="35">
        <f t="shared" si="74"/>
        <v>0</v>
      </c>
      <c r="N804" s="35">
        <f t="shared" si="75"/>
        <v>30000</v>
      </c>
      <c r="O804" s="35">
        <f t="shared" si="76"/>
        <v>1.2295081967213115</v>
      </c>
      <c r="P804" s="35">
        <f t="shared" si="77"/>
        <v>2.459016393442623</v>
      </c>
    </row>
    <row r="805" spans="12:16" ht="15" hidden="1" customHeight="1">
      <c r="L805" s="43">
        <f t="shared" si="73"/>
        <v>45306</v>
      </c>
      <c r="M805" s="35">
        <f t="shared" si="74"/>
        <v>0</v>
      </c>
      <c r="N805" s="35">
        <f t="shared" si="75"/>
        <v>30000</v>
      </c>
      <c r="O805" s="35">
        <f t="shared" si="76"/>
        <v>1.2295081967213115</v>
      </c>
      <c r="P805" s="35">
        <f t="shared" si="77"/>
        <v>2.459016393442623</v>
      </c>
    </row>
    <row r="806" spans="12:16" ht="15" hidden="1" customHeight="1">
      <c r="L806" s="43">
        <f t="shared" si="73"/>
        <v>45307</v>
      </c>
      <c r="M806" s="35">
        <f t="shared" si="74"/>
        <v>0</v>
      </c>
      <c r="N806" s="35">
        <f t="shared" si="75"/>
        <v>30000</v>
      </c>
      <c r="O806" s="35">
        <f t="shared" si="76"/>
        <v>1.2295081967213115</v>
      </c>
      <c r="P806" s="35">
        <f t="shared" si="77"/>
        <v>2.459016393442623</v>
      </c>
    </row>
    <row r="807" spans="12:16" ht="15" hidden="1" customHeight="1">
      <c r="L807" s="43">
        <f t="shared" si="73"/>
        <v>45308</v>
      </c>
      <c r="M807" s="35">
        <f t="shared" si="74"/>
        <v>0</v>
      </c>
      <c r="N807" s="35">
        <f t="shared" si="75"/>
        <v>30000</v>
      </c>
      <c r="O807" s="35">
        <f t="shared" si="76"/>
        <v>1.2295081967213115</v>
      </c>
      <c r="P807" s="35">
        <f t="shared" si="77"/>
        <v>2.459016393442623</v>
      </c>
    </row>
    <row r="808" spans="12:16" ht="15" hidden="1" customHeight="1">
      <c r="L808" s="43">
        <f t="shared" si="73"/>
        <v>45309</v>
      </c>
      <c r="M808" s="35">
        <f t="shared" si="74"/>
        <v>0</v>
      </c>
      <c r="N808" s="35">
        <f t="shared" si="75"/>
        <v>30000</v>
      </c>
      <c r="O808" s="35">
        <f t="shared" si="76"/>
        <v>1.2295081967213115</v>
      </c>
      <c r="P808" s="35">
        <f t="shared" si="77"/>
        <v>2.459016393442623</v>
      </c>
    </row>
    <row r="809" spans="12:16" ht="15" hidden="1" customHeight="1">
      <c r="L809" s="43">
        <f t="shared" si="73"/>
        <v>45310</v>
      </c>
      <c r="M809" s="35">
        <f t="shared" si="74"/>
        <v>0</v>
      </c>
      <c r="N809" s="35">
        <f t="shared" si="75"/>
        <v>30000</v>
      </c>
      <c r="O809" s="35">
        <f t="shared" si="76"/>
        <v>1.2295081967213115</v>
      </c>
      <c r="P809" s="35">
        <f t="shared" si="77"/>
        <v>2.459016393442623</v>
      </c>
    </row>
    <row r="810" spans="12:16" ht="15" hidden="1" customHeight="1">
      <c r="L810" s="43">
        <f t="shared" si="73"/>
        <v>45311</v>
      </c>
      <c r="M810" s="35">
        <f t="shared" si="74"/>
        <v>0</v>
      </c>
      <c r="N810" s="35">
        <f t="shared" si="75"/>
        <v>30000</v>
      </c>
      <c r="O810" s="35">
        <f t="shared" si="76"/>
        <v>1.2295081967213115</v>
      </c>
      <c r="P810" s="35">
        <f t="shared" si="77"/>
        <v>2.459016393442623</v>
      </c>
    </row>
    <row r="811" spans="12:16" ht="15" hidden="1" customHeight="1">
      <c r="L811" s="43">
        <f t="shared" si="73"/>
        <v>45312</v>
      </c>
      <c r="M811" s="35">
        <f t="shared" si="74"/>
        <v>0</v>
      </c>
      <c r="N811" s="35">
        <f t="shared" si="75"/>
        <v>30000</v>
      </c>
      <c r="O811" s="35">
        <f t="shared" si="76"/>
        <v>1.2295081967213115</v>
      </c>
      <c r="P811" s="35">
        <f t="shared" si="77"/>
        <v>2.459016393442623</v>
      </c>
    </row>
    <row r="812" spans="12:16" ht="15" hidden="1" customHeight="1">
      <c r="L812" s="43">
        <f t="shared" si="73"/>
        <v>45313</v>
      </c>
      <c r="M812" s="35">
        <f t="shared" si="74"/>
        <v>0</v>
      </c>
      <c r="N812" s="35">
        <f t="shared" si="75"/>
        <v>30000</v>
      </c>
      <c r="O812" s="35">
        <f t="shared" si="76"/>
        <v>1.2295081967213115</v>
      </c>
      <c r="P812" s="35">
        <f t="shared" si="77"/>
        <v>2.459016393442623</v>
      </c>
    </row>
    <row r="813" spans="12:16" ht="15" hidden="1" customHeight="1">
      <c r="L813" s="43">
        <f t="shared" si="73"/>
        <v>45314</v>
      </c>
      <c r="M813" s="35">
        <f t="shared" si="74"/>
        <v>0</v>
      </c>
      <c r="N813" s="35">
        <f t="shared" si="75"/>
        <v>30000</v>
      </c>
      <c r="O813" s="35">
        <f t="shared" si="76"/>
        <v>1.2295081967213115</v>
      </c>
      <c r="P813" s="35">
        <f t="shared" si="77"/>
        <v>2.459016393442623</v>
      </c>
    </row>
    <row r="814" spans="12:16" ht="15" hidden="1" customHeight="1">
      <c r="L814" s="43">
        <f t="shared" si="73"/>
        <v>45315</v>
      </c>
      <c r="M814" s="35">
        <f t="shared" si="74"/>
        <v>0</v>
      </c>
      <c r="N814" s="35">
        <f t="shared" si="75"/>
        <v>30000</v>
      </c>
      <c r="O814" s="35">
        <f t="shared" si="76"/>
        <v>1.2295081967213115</v>
      </c>
      <c r="P814" s="35">
        <f t="shared" si="77"/>
        <v>2.459016393442623</v>
      </c>
    </row>
    <row r="815" spans="12:16" ht="15" hidden="1" customHeight="1">
      <c r="L815" s="43">
        <f t="shared" si="73"/>
        <v>45316</v>
      </c>
      <c r="M815" s="35">
        <f t="shared" si="74"/>
        <v>0</v>
      </c>
      <c r="N815" s="35">
        <f t="shared" si="75"/>
        <v>30000</v>
      </c>
      <c r="O815" s="35">
        <f t="shared" si="76"/>
        <v>1.2295081967213115</v>
      </c>
      <c r="P815" s="35">
        <f t="shared" si="77"/>
        <v>2.459016393442623</v>
      </c>
    </row>
    <row r="816" spans="12:16" ht="15" hidden="1" customHeight="1">
      <c r="L816" s="43">
        <f t="shared" si="73"/>
        <v>45317</v>
      </c>
      <c r="M816" s="35">
        <f t="shared" si="74"/>
        <v>0</v>
      </c>
      <c r="N816" s="35">
        <f t="shared" si="75"/>
        <v>30000</v>
      </c>
      <c r="O816" s="35">
        <f t="shared" si="76"/>
        <v>1.2295081967213115</v>
      </c>
      <c r="P816" s="35">
        <f t="shared" si="77"/>
        <v>2.459016393442623</v>
      </c>
    </row>
    <row r="817" spans="12:16" ht="15" hidden="1" customHeight="1">
      <c r="L817" s="43">
        <f t="shared" si="73"/>
        <v>45318</v>
      </c>
      <c r="M817" s="35">
        <f t="shared" si="74"/>
        <v>0</v>
      </c>
      <c r="N817" s="35">
        <f t="shared" si="75"/>
        <v>30000</v>
      </c>
      <c r="O817" s="35">
        <f t="shared" si="76"/>
        <v>1.2295081967213115</v>
      </c>
      <c r="P817" s="35">
        <f t="shared" si="77"/>
        <v>2.459016393442623</v>
      </c>
    </row>
    <row r="818" spans="12:16" ht="15" hidden="1" customHeight="1">
      <c r="L818" s="43">
        <f t="shared" si="73"/>
        <v>45319</v>
      </c>
      <c r="M818" s="35">
        <f t="shared" si="74"/>
        <v>0</v>
      </c>
      <c r="N818" s="35">
        <f t="shared" si="75"/>
        <v>30000</v>
      </c>
      <c r="O818" s="35">
        <f t="shared" si="76"/>
        <v>1.2295081967213115</v>
      </c>
      <c r="P818" s="35">
        <f t="shared" si="77"/>
        <v>2.459016393442623</v>
      </c>
    </row>
    <row r="819" spans="12:16" ht="15" hidden="1" customHeight="1">
      <c r="L819" s="43">
        <f t="shared" si="73"/>
        <v>45320</v>
      </c>
      <c r="M819" s="35">
        <f t="shared" si="74"/>
        <v>0</v>
      </c>
      <c r="N819" s="35">
        <f t="shared" si="75"/>
        <v>30000</v>
      </c>
      <c r="O819" s="35">
        <f t="shared" si="76"/>
        <v>1.2295081967213115</v>
      </c>
      <c r="P819" s="35">
        <f t="shared" si="77"/>
        <v>2.459016393442623</v>
      </c>
    </row>
    <row r="820" spans="12:16" ht="15" hidden="1" customHeight="1">
      <c r="L820" s="43">
        <f t="shared" si="73"/>
        <v>45321</v>
      </c>
      <c r="M820" s="35">
        <f t="shared" si="74"/>
        <v>0</v>
      </c>
      <c r="N820" s="35">
        <f t="shared" si="75"/>
        <v>30000</v>
      </c>
      <c r="O820" s="35">
        <f t="shared" si="76"/>
        <v>1.2295081967213115</v>
      </c>
      <c r="P820" s="35">
        <f t="shared" si="77"/>
        <v>2.459016393442623</v>
      </c>
    </row>
    <row r="821" spans="12:16" ht="15" hidden="1" customHeight="1">
      <c r="L821" s="43">
        <f t="shared" si="73"/>
        <v>45322</v>
      </c>
      <c r="M821" s="35">
        <f t="shared" si="74"/>
        <v>0</v>
      </c>
      <c r="N821" s="35">
        <f t="shared" si="75"/>
        <v>30000</v>
      </c>
      <c r="O821" s="35">
        <f t="shared" si="76"/>
        <v>1.2295081967213115</v>
      </c>
      <c r="P821" s="35">
        <f t="shared" si="77"/>
        <v>2.459016393442623</v>
      </c>
    </row>
    <row r="822" spans="12:16" ht="15" hidden="1" customHeight="1">
      <c r="L822" s="43">
        <f t="shared" si="73"/>
        <v>45323</v>
      </c>
      <c r="M822" s="35">
        <f t="shared" si="74"/>
        <v>0</v>
      </c>
      <c r="N822" s="35">
        <f t="shared" si="75"/>
        <v>30000</v>
      </c>
      <c r="O822" s="35">
        <f t="shared" si="76"/>
        <v>1.2295081967213115</v>
      </c>
      <c r="P822" s="35">
        <f t="shared" si="77"/>
        <v>2.459016393442623</v>
      </c>
    </row>
    <row r="823" spans="12:16" ht="15" hidden="1" customHeight="1">
      <c r="L823" s="43">
        <f t="shared" si="73"/>
        <v>45324</v>
      </c>
      <c r="M823" s="35">
        <f t="shared" si="74"/>
        <v>0</v>
      </c>
      <c r="N823" s="35">
        <f t="shared" si="75"/>
        <v>30000</v>
      </c>
      <c r="O823" s="35">
        <f t="shared" si="76"/>
        <v>1.2295081967213115</v>
      </c>
      <c r="P823" s="35">
        <f t="shared" si="77"/>
        <v>2.459016393442623</v>
      </c>
    </row>
    <row r="824" spans="12:16" ht="15" hidden="1" customHeight="1">
      <c r="L824" s="43">
        <f t="shared" si="73"/>
        <v>45325</v>
      </c>
      <c r="M824" s="35">
        <f t="shared" si="74"/>
        <v>0</v>
      </c>
      <c r="N824" s="35">
        <f t="shared" si="75"/>
        <v>30000</v>
      </c>
      <c r="O824" s="35">
        <f t="shared" si="76"/>
        <v>1.2295081967213115</v>
      </c>
      <c r="P824" s="35">
        <f t="shared" si="77"/>
        <v>2.459016393442623</v>
      </c>
    </row>
    <row r="825" spans="12:16" ht="15" hidden="1" customHeight="1">
      <c r="L825" s="43">
        <f t="shared" si="73"/>
        <v>45326</v>
      </c>
      <c r="M825" s="35">
        <f t="shared" si="74"/>
        <v>0</v>
      </c>
      <c r="N825" s="35">
        <f t="shared" si="75"/>
        <v>30000</v>
      </c>
      <c r="O825" s="35">
        <f t="shared" si="76"/>
        <v>1.2295081967213115</v>
      </c>
      <c r="P825" s="35">
        <f t="shared" si="77"/>
        <v>2.459016393442623</v>
      </c>
    </row>
    <row r="826" spans="12:16" ht="15" hidden="1" customHeight="1">
      <c r="L826" s="43">
        <f t="shared" si="73"/>
        <v>45327</v>
      </c>
      <c r="M826" s="35">
        <f t="shared" si="74"/>
        <v>0</v>
      </c>
      <c r="N826" s="35">
        <f t="shared" si="75"/>
        <v>30000</v>
      </c>
      <c r="O826" s="35">
        <f t="shared" si="76"/>
        <v>1.2295081967213115</v>
      </c>
      <c r="P826" s="35">
        <f t="shared" si="77"/>
        <v>2.459016393442623</v>
      </c>
    </row>
    <row r="827" spans="12:16" ht="15" hidden="1" customHeight="1">
      <c r="L827" s="43">
        <f t="shared" si="73"/>
        <v>45328</v>
      </c>
      <c r="M827" s="35">
        <f t="shared" si="74"/>
        <v>0</v>
      </c>
      <c r="N827" s="35">
        <f t="shared" si="75"/>
        <v>30000</v>
      </c>
      <c r="O827" s="35">
        <f t="shared" si="76"/>
        <v>1.2295081967213115</v>
      </c>
      <c r="P827" s="35">
        <f t="shared" si="77"/>
        <v>2.459016393442623</v>
      </c>
    </row>
    <row r="828" spans="12:16" ht="15" hidden="1" customHeight="1">
      <c r="L828" s="43">
        <f t="shared" si="73"/>
        <v>45329</v>
      </c>
      <c r="M828" s="35">
        <f t="shared" si="74"/>
        <v>0</v>
      </c>
      <c r="N828" s="35">
        <f t="shared" si="75"/>
        <v>30000</v>
      </c>
      <c r="O828" s="35">
        <f t="shared" si="76"/>
        <v>1.2295081967213115</v>
      </c>
      <c r="P828" s="35">
        <f t="shared" si="77"/>
        <v>2.459016393442623</v>
      </c>
    </row>
    <row r="829" spans="12:16" ht="15" hidden="1" customHeight="1">
      <c r="L829" s="43">
        <f t="shared" si="73"/>
        <v>45330</v>
      </c>
      <c r="M829" s="35">
        <f t="shared" si="74"/>
        <v>0</v>
      </c>
      <c r="N829" s="35">
        <f t="shared" si="75"/>
        <v>30000</v>
      </c>
      <c r="O829" s="35">
        <f t="shared" si="76"/>
        <v>1.2295081967213115</v>
      </c>
      <c r="P829" s="35">
        <f t="shared" si="77"/>
        <v>2.459016393442623</v>
      </c>
    </row>
    <row r="830" spans="12:16" ht="15" hidden="1" customHeight="1">
      <c r="L830" s="43">
        <f t="shared" si="73"/>
        <v>45331</v>
      </c>
      <c r="M830" s="35">
        <f t="shared" si="74"/>
        <v>0</v>
      </c>
      <c r="N830" s="35">
        <f t="shared" si="75"/>
        <v>30000</v>
      </c>
      <c r="O830" s="35">
        <f t="shared" si="76"/>
        <v>1.2295081967213115</v>
      </c>
      <c r="P830" s="35">
        <f t="shared" si="77"/>
        <v>2.459016393442623</v>
      </c>
    </row>
    <row r="831" spans="12:16" ht="15" hidden="1" customHeight="1">
      <c r="L831" s="43">
        <f t="shared" si="73"/>
        <v>45332</v>
      </c>
      <c r="M831" s="35">
        <f t="shared" si="74"/>
        <v>0</v>
      </c>
      <c r="N831" s="35">
        <f t="shared" si="75"/>
        <v>30000</v>
      </c>
      <c r="O831" s="35">
        <f t="shared" si="76"/>
        <v>1.2295081967213115</v>
      </c>
      <c r="P831" s="35">
        <f t="shared" si="77"/>
        <v>2.459016393442623</v>
      </c>
    </row>
    <row r="832" spans="12:16" ht="15" hidden="1" customHeight="1">
      <c r="L832" s="43">
        <f t="shared" si="73"/>
        <v>45333</v>
      </c>
      <c r="M832" s="35">
        <f t="shared" si="74"/>
        <v>0</v>
      </c>
      <c r="N832" s="35">
        <f t="shared" si="75"/>
        <v>30000</v>
      </c>
      <c r="O832" s="35">
        <f t="shared" si="76"/>
        <v>1.2295081967213115</v>
      </c>
      <c r="P832" s="35">
        <f t="shared" si="77"/>
        <v>2.459016393442623</v>
      </c>
    </row>
    <row r="833" spans="12:16" ht="15" hidden="1" customHeight="1">
      <c r="L833" s="43">
        <f t="shared" si="73"/>
        <v>45334</v>
      </c>
      <c r="M833" s="35">
        <f t="shared" si="74"/>
        <v>0</v>
      </c>
      <c r="N833" s="35">
        <f t="shared" si="75"/>
        <v>30000</v>
      </c>
      <c r="O833" s="35">
        <f t="shared" si="76"/>
        <v>1.2295081967213115</v>
      </c>
      <c r="P833" s="35">
        <f t="shared" si="77"/>
        <v>2.459016393442623</v>
      </c>
    </row>
    <row r="834" spans="12:16" ht="15" hidden="1" customHeight="1">
      <c r="L834" s="43">
        <f t="shared" si="73"/>
        <v>45335</v>
      </c>
      <c r="M834" s="35">
        <f t="shared" si="74"/>
        <v>0</v>
      </c>
      <c r="N834" s="35">
        <f t="shared" si="75"/>
        <v>30000</v>
      </c>
      <c r="O834" s="35">
        <f t="shared" si="76"/>
        <v>1.2295081967213115</v>
      </c>
      <c r="P834" s="35">
        <f t="shared" si="77"/>
        <v>2.459016393442623</v>
      </c>
    </row>
    <row r="835" spans="12:16" ht="15" hidden="1" customHeight="1">
      <c r="L835" s="43">
        <f t="shared" si="73"/>
        <v>45336</v>
      </c>
      <c r="M835" s="35">
        <f t="shared" si="74"/>
        <v>0</v>
      </c>
      <c r="N835" s="35">
        <f t="shared" si="75"/>
        <v>30000</v>
      </c>
      <c r="O835" s="35">
        <f t="shared" si="76"/>
        <v>1.2295081967213115</v>
      </c>
      <c r="P835" s="35">
        <f t="shared" si="77"/>
        <v>2.459016393442623</v>
      </c>
    </row>
    <row r="836" spans="12:16" ht="15" hidden="1" customHeight="1">
      <c r="L836" s="43">
        <f t="shared" si="73"/>
        <v>45337</v>
      </c>
      <c r="M836" s="35">
        <f t="shared" si="74"/>
        <v>0</v>
      </c>
      <c r="N836" s="35">
        <f t="shared" si="75"/>
        <v>30000</v>
      </c>
      <c r="O836" s="35">
        <f t="shared" si="76"/>
        <v>1.2295081967213115</v>
      </c>
      <c r="P836" s="35">
        <f t="shared" si="77"/>
        <v>2.459016393442623</v>
      </c>
    </row>
    <row r="837" spans="12:16" ht="15" hidden="1" customHeight="1">
      <c r="L837" s="43">
        <f t="shared" si="73"/>
        <v>45338</v>
      </c>
      <c r="M837" s="35">
        <f t="shared" si="74"/>
        <v>0</v>
      </c>
      <c r="N837" s="35">
        <f t="shared" si="75"/>
        <v>30000</v>
      </c>
      <c r="O837" s="35">
        <f t="shared" si="76"/>
        <v>1.2295081967213115</v>
      </c>
      <c r="P837" s="35">
        <f t="shared" si="77"/>
        <v>2.459016393442623</v>
      </c>
    </row>
    <row r="838" spans="12:16" ht="15" hidden="1" customHeight="1">
      <c r="L838" s="43">
        <f t="shared" si="73"/>
        <v>45339</v>
      </c>
      <c r="M838" s="35">
        <f t="shared" si="74"/>
        <v>0</v>
      </c>
      <c r="N838" s="35">
        <f t="shared" si="75"/>
        <v>30000</v>
      </c>
      <c r="O838" s="35">
        <f t="shared" si="76"/>
        <v>1.2295081967213115</v>
      </c>
      <c r="P838" s="35">
        <f t="shared" si="77"/>
        <v>2.459016393442623</v>
      </c>
    </row>
    <row r="839" spans="12:16" ht="15" hidden="1" customHeight="1">
      <c r="L839" s="43">
        <f t="shared" si="73"/>
        <v>45340</v>
      </c>
      <c r="M839" s="35">
        <f t="shared" si="74"/>
        <v>0</v>
      </c>
      <c r="N839" s="35">
        <f t="shared" si="75"/>
        <v>30000</v>
      </c>
      <c r="O839" s="35">
        <f t="shared" si="76"/>
        <v>1.2295081967213115</v>
      </c>
      <c r="P839" s="35">
        <f t="shared" si="77"/>
        <v>2.459016393442623</v>
      </c>
    </row>
    <row r="840" spans="12:16" ht="15" hidden="1" customHeight="1">
      <c r="L840" s="43">
        <f t="shared" si="73"/>
        <v>45341</v>
      </c>
      <c r="M840" s="35">
        <f t="shared" si="74"/>
        <v>0</v>
      </c>
      <c r="N840" s="35">
        <f t="shared" si="75"/>
        <v>30000</v>
      </c>
      <c r="O840" s="35">
        <f t="shared" si="76"/>
        <v>1.2295081967213115</v>
      </c>
      <c r="P840" s="35">
        <f t="shared" si="77"/>
        <v>2.459016393442623</v>
      </c>
    </row>
    <row r="841" spans="12:16" ht="15" hidden="1" customHeight="1">
      <c r="L841" s="43">
        <f t="shared" si="73"/>
        <v>45342</v>
      </c>
      <c r="M841" s="35">
        <f t="shared" si="74"/>
        <v>0</v>
      </c>
      <c r="N841" s="35">
        <f t="shared" si="75"/>
        <v>30000</v>
      </c>
      <c r="O841" s="35">
        <f t="shared" si="76"/>
        <v>1.2295081967213115</v>
      </c>
      <c r="P841" s="35">
        <f t="shared" si="77"/>
        <v>2.459016393442623</v>
      </c>
    </row>
    <row r="842" spans="12:16" ht="15" hidden="1" customHeight="1">
      <c r="L842" s="43">
        <f t="shared" si="73"/>
        <v>45343</v>
      </c>
      <c r="M842" s="35">
        <f t="shared" si="74"/>
        <v>0</v>
      </c>
      <c r="N842" s="35">
        <f t="shared" si="75"/>
        <v>30000</v>
      </c>
      <c r="O842" s="35">
        <f t="shared" si="76"/>
        <v>1.2295081967213115</v>
      </c>
      <c r="P842" s="35">
        <f t="shared" si="77"/>
        <v>2.459016393442623</v>
      </c>
    </row>
    <row r="843" spans="12:16" ht="15" hidden="1" customHeight="1">
      <c r="L843" s="43">
        <f t="shared" si="73"/>
        <v>45344</v>
      </c>
      <c r="M843" s="35">
        <f t="shared" si="74"/>
        <v>0</v>
      </c>
      <c r="N843" s="35">
        <f t="shared" si="75"/>
        <v>30000</v>
      </c>
      <c r="O843" s="35">
        <f t="shared" si="76"/>
        <v>1.2295081967213115</v>
      </c>
      <c r="P843" s="35">
        <f t="shared" si="77"/>
        <v>2.459016393442623</v>
      </c>
    </row>
    <row r="844" spans="12:16" ht="15" hidden="1" customHeight="1">
      <c r="L844" s="43">
        <f t="shared" si="73"/>
        <v>45345</v>
      </c>
      <c r="M844" s="35">
        <f t="shared" si="74"/>
        <v>0</v>
      </c>
      <c r="N844" s="35">
        <f t="shared" si="75"/>
        <v>30000</v>
      </c>
      <c r="O844" s="35">
        <f t="shared" si="76"/>
        <v>1.2295081967213115</v>
      </c>
      <c r="P844" s="35">
        <f t="shared" si="77"/>
        <v>2.459016393442623</v>
      </c>
    </row>
    <row r="845" spans="12:16" ht="15" hidden="1" customHeight="1">
      <c r="L845" s="43">
        <f t="shared" si="73"/>
        <v>45346</v>
      </c>
      <c r="M845" s="35">
        <f t="shared" si="74"/>
        <v>0</v>
      </c>
      <c r="N845" s="35">
        <f t="shared" si="75"/>
        <v>30000</v>
      </c>
      <c r="O845" s="35">
        <f t="shared" si="76"/>
        <v>1.2295081967213115</v>
      </c>
      <c r="P845" s="35">
        <f t="shared" si="77"/>
        <v>2.459016393442623</v>
      </c>
    </row>
    <row r="846" spans="12:16" ht="15" hidden="1" customHeight="1">
      <c r="L846" s="43">
        <f t="shared" si="73"/>
        <v>45347</v>
      </c>
      <c r="M846" s="35">
        <f t="shared" si="74"/>
        <v>0</v>
      </c>
      <c r="N846" s="35">
        <f t="shared" si="75"/>
        <v>30000</v>
      </c>
      <c r="O846" s="35">
        <f t="shared" si="76"/>
        <v>1.2295081967213115</v>
      </c>
      <c r="P846" s="35">
        <f t="shared" si="77"/>
        <v>2.459016393442623</v>
      </c>
    </row>
    <row r="847" spans="12:16" ht="15" hidden="1" customHeight="1">
      <c r="L847" s="43">
        <f t="shared" si="73"/>
        <v>45348</v>
      </c>
      <c r="M847" s="35">
        <f t="shared" si="74"/>
        <v>0</v>
      </c>
      <c r="N847" s="35">
        <f t="shared" si="75"/>
        <v>30000</v>
      </c>
      <c r="O847" s="35">
        <f t="shared" si="76"/>
        <v>1.2295081967213115</v>
      </c>
      <c r="P847" s="35">
        <f t="shared" si="77"/>
        <v>2.459016393442623</v>
      </c>
    </row>
    <row r="848" spans="12:16" ht="15" hidden="1" customHeight="1">
      <c r="L848" s="43">
        <f t="shared" si="73"/>
        <v>45349</v>
      </c>
      <c r="M848" s="35">
        <f t="shared" si="74"/>
        <v>0</v>
      </c>
      <c r="N848" s="35">
        <f t="shared" si="75"/>
        <v>30000</v>
      </c>
      <c r="O848" s="35">
        <f t="shared" si="76"/>
        <v>1.2295081967213115</v>
      </c>
      <c r="P848" s="35">
        <f t="shared" si="77"/>
        <v>2.459016393442623</v>
      </c>
    </row>
    <row r="849" spans="12:16" ht="15" hidden="1" customHeight="1">
      <c r="L849" s="43">
        <f t="shared" si="73"/>
        <v>45350</v>
      </c>
      <c r="M849" s="35">
        <f t="shared" si="74"/>
        <v>0</v>
      </c>
      <c r="N849" s="35">
        <f t="shared" si="75"/>
        <v>30000</v>
      </c>
      <c r="O849" s="35">
        <f t="shared" si="76"/>
        <v>1.2295081967213115</v>
      </c>
      <c r="P849" s="35">
        <f t="shared" si="77"/>
        <v>2.459016393442623</v>
      </c>
    </row>
    <row r="850" spans="12:16" ht="15" hidden="1" customHeight="1">
      <c r="L850" s="43">
        <f t="shared" si="73"/>
        <v>45351</v>
      </c>
      <c r="M850" s="35">
        <f t="shared" si="74"/>
        <v>0</v>
      </c>
      <c r="N850" s="35">
        <f t="shared" si="75"/>
        <v>30000</v>
      </c>
      <c r="O850" s="35">
        <f t="shared" si="76"/>
        <v>1.2295081967213115</v>
      </c>
      <c r="P850" s="35">
        <f t="shared" si="77"/>
        <v>2.459016393442623</v>
      </c>
    </row>
    <row r="851" spans="12:16" ht="15" hidden="1" customHeight="1">
      <c r="L851" s="43">
        <f t="shared" si="73"/>
        <v>45352</v>
      </c>
      <c r="M851" s="35">
        <f t="shared" si="74"/>
        <v>0</v>
      </c>
      <c r="N851" s="35">
        <f t="shared" si="75"/>
        <v>30000</v>
      </c>
      <c r="O851" s="35">
        <f t="shared" si="76"/>
        <v>1.2295081967213115</v>
      </c>
      <c r="P851" s="35">
        <f t="shared" si="77"/>
        <v>2.459016393442623</v>
      </c>
    </row>
    <row r="852" spans="12:16" ht="15" hidden="1" customHeight="1">
      <c r="L852" s="43">
        <f t="shared" si="73"/>
        <v>45353</v>
      </c>
      <c r="M852" s="35">
        <f t="shared" si="74"/>
        <v>0</v>
      </c>
      <c r="N852" s="35">
        <f t="shared" si="75"/>
        <v>30000</v>
      </c>
      <c r="O852" s="35">
        <f t="shared" si="76"/>
        <v>1.2295081967213115</v>
      </c>
      <c r="P852" s="35">
        <f t="shared" si="77"/>
        <v>2.459016393442623</v>
      </c>
    </row>
    <row r="853" spans="12:16" ht="15" hidden="1" customHeight="1">
      <c r="L853" s="43">
        <f t="shared" si="73"/>
        <v>45354</v>
      </c>
      <c r="M853" s="35">
        <f t="shared" si="74"/>
        <v>0</v>
      </c>
      <c r="N853" s="35">
        <f t="shared" si="75"/>
        <v>30000</v>
      </c>
      <c r="O853" s="35">
        <f t="shared" si="76"/>
        <v>1.2295081967213115</v>
      </c>
      <c r="P853" s="35">
        <f t="shared" si="77"/>
        <v>2.459016393442623</v>
      </c>
    </row>
    <row r="854" spans="12:16" ht="15" hidden="1" customHeight="1">
      <c r="L854" s="43">
        <f t="shared" si="73"/>
        <v>45355</v>
      </c>
      <c r="M854" s="35">
        <f t="shared" si="74"/>
        <v>0</v>
      </c>
      <c r="N854" s="35">
        <f t="shared" si="75"/>
        <v>30000</v>
      </c>
      <c r="O854" s="35">
        <f t="shared" si="76"/>
        <v>1.2295081967213115</v>
      </c>
      <c r="P854" s="35">
        <f t="shared" si="77"/>
        <v>2.459016393442623</v>
      </c>
    </row>
    <row r="855" spans="12:16" ht="15" hidden="1" customHeight="1">
      <c r="L855" s="43">
        <f t="shared" si="73"/>
        <v>45356</v>
      </c>
      <c r="M855" s="35">
        <f t="shared" si="74"/>
        <v>0</v>
      </c>
      <c r="N855" s="35">
        <f t="shared" si="75"/>
        <v>30000</v>
      </c>
      <c r="O855" s="35">
        <f t="shared" si="76"/>
        <v>1.2295081967213115</v>
      </c>
      <c r="P855" s="35">
        <f t="shared" si="77"/>
        <v>2.459016393442623</v>
      </c>
    </row>
    <row r="856" spans="12:16" ht="15" hidden="1" customHeight="1">
      <c r="L856" s="43">
        <f t="shared" si="73"/>
        <v>45357</v>
      </c>
      <c r="M856" s="35">
        <f t="shared" si="74"/>
        <v>0</v>
      </c>
      <c r="N856" s="35">
        <f t="shared" si="75"/>
        <v>30000</v>
      </c>
      <c r="O856" s="35">
        <f t="shared" si="76"/>
        <v>1.2295081967213115</v>
      </c>
      <c r="P856" s="35">
        <f t="shared" si="77"/>
        <v>2.459016393442623</v>
      </c>
    </row>
    <row r="857" spans="12:16" ht="15" hidden="1" customHeight="1">
      <c r="L857" s="43">
        <f t="shared" si="73"/>
        <v>45358</v>
      </c>
      <c r="M857" s="35">
        <f t="shared" si="74"/>
        <v>0</v>
      </c>
      <c r="N857" s="35">
        <f t="shared" si="75"/>
        <v>30000</v>
      </c>
      <c r="O857" s="35">
        <f t="shared" si="76"/>
        <v>1.2295081967213115</v>
      </c>
      <c r="P857" s="35">
        <f t="shared" si="77"/>
        <v>2.459016393442623</v>
      </c>
    </row>
    <row r="858" spans="12:16" ht="15" hidden="1" customHeight="1">
      <c r="L858" s="43">
        <f t="shared" si="73"/>
        <v>45359</v>
      </c>
      <c r="M858" s="35">
        <f t="shared" si="74"/>
        <v>0</v>
      </c>
      <c r="N858" s="35">
        <f t="shared" si="75"/>
        <v>30000</v>
      </c>
      <c r="O858" s="35">
        <f t="shared" si="76"/>
        <v>1.2295081967213115</v>
      </c>
      <c r="P858" s="35">
        <f t="shared" si="77"/>
        <v>2.459016393442623</v>
      </c>
    </row>
    <row r="859" spans="12:16" ht="15" hidden="1" customHeight="1">
      <c r="L859" s="43">
        <f t="shared" si="73"/>
        <v>45360</v>
      </c>
      <c r="M859" s="35">
        <f t="shared" si="74"/>
        <v>0</v>
      </c>
      <c r="N859" s="35">
        <f t="shared" si="75"/>
        <v>30000</v>
      </c>
      <c r="O859" s="35">
        <f t="shared" si="76"/>
        <v>1.2295081967213115</v>
      </c>
      <c r="P859" s="35">
        <f t="shared" si="77"/>
        <v>2.459016393442623</v>
      </c>
    </row>
    <row r="860" spans="12:16" ht="15" hidden="1" customHeight="1">
      <c r="L860" s="43">
        <f t="shared" si="73"/>
        <v>45361</v>
      </c>
      <c r="M860" s="35">
        <f t="shared" si="74"/>
        <v>0</v>
      </c>
      <c r="N860" s="35">
        <f t="shared" si="75"/>
        <v>30000</v>
      </c>
      <c r="O860" s="35">
        <f t="shared" si="76"/>
        <v>1.2295081967213115</v>
      </c>
      <c r="P860" s="35">
        <f t="shared" si="77"/>
        <v>2.459016393442623</v>
      </c>
    </row>
    <row r="861" spans="12:16" ht="15" hidden="1" customHeight="1">
      <c r="L861" s="43">
        <f t="shared" si="73"/>
        <v>45362</v>
      </c>
      <c r="M861" s="35">
        <f t="shared" si="74"/>
        <v>0</v>
      </c>
      <c r="N861" s="35">
        <f t="shared" si="75"/>
        <v>30000</v>
      </c>
      <c r="O861" s="35">
        <f t="shared" si="76"/>
        <v>1.2295081967213115</v>
      </c>
      <c r="P861" s="35">
        <f t="shared" si="77"/>
        <v>2.459016393442623</v>
      </c>
    </row>
    <row r="862" spans="12:16" ht="15" hidden="1" customHeight="1">
      <c r="L862" s="43">
        <f t="shared" si="73"/>
        <v>45363</v>
      </c>
      <c r="M862" s="35">
        <f t="shared" si="74"/>
        <v>0</v>
      </c>
      <c r="N862" s="35">
        <f t="shared" si="75"/>
        <v>30000</v>
      </c>
      <c r="O862" s="35">
        <f t="shared" si="76"/>
        <v>1.2295081967213115</v>
      </c>
      <c r="P862" s="35">
        <f t="shared" si="77"/>
        <v>2.459016393442623</v>
      </c>
    </row>
    <row r="863" spans="12:16" ht="15" hidden="1" customHeight="1">
      <c r="L863" s="43">
        <f t="shared" ref="L863:L926" si="78">IFERROR(IF(MAX(L862+1,Дата_получения_Займа+1)&gt;Дата_погашения_Займа,"-",MAX(L862+1,Дата_получения_Займа+1)),"-")</f>
        <v>45364</v>
      </c>
      <c r="M863" s="35">
        <f t="shared" ref="M863:M926" si="79">IFERROR(VLOOKUP(L863,$B$31:$E$59,4,FALSE),0)</f>
        <v>0</v>
      </c>
      <c r="N863" s="35">
        <f t="shared" ref="N863:N926" si="80">IF(ISNUMBER(N862),N862-M863,$E$20)</f>
        <v>30000</v>
      </c>
      <c r="O863" s="35">
        <f t="shared" ref="O863:O926" si="81">IFERROR(IF(ISNUMBER(N862),N862,$E$20)*IF(L863&gt;=$J$20,$E$25,$E$24)/IF(MOD(YEAR(L863),4),365,366)*IF(ISBLANK(L862),L863-$E$22,L863-L862),0)</f>
        <v>1.2295081967213115</v>
      </c>
      <c r="P863" s="35">
        <f t="shared" ref="P863:P926" si="82">IFERROR(IF(ISNUMBER(N862),N862,$E$20)*3%/IF(MOD(YEAR(L863),4),365,366)*IF(ISBLANK(L862),(L863-$E$22),L863-L862),0)</f>
        <v>2.459016393442623</v>
      </c>
    </row>
    <row r="864" spans="12:16" ht="15" hidden="1" customHeight="1">
      <c r="L864" s="43">
        <f t="shared" si="78"/>
        <v>45365</v>
      </c>
      <c r="M864" s="35">
        <f t="shared" si="79"/>
        <v>0</v>
      </c>
      <c r="N864" s="35">
        <f t="shared" si="80"/>
        <v>30000</v>
      </c>
      <c r="O864" s="35">
        <f t="shared" si="81"/>
        <v>1.2295081967213115</v>
      </c>
      <c r="P864" s="35">
        <f t="shared" si="82"/>
        <v>2.459016393442623</v>
      </c>
    </row>
    <row r="865" spans="12:16" ht="15" hidden="1" customHeight="1">
      <c r="L865" s="43">
        <f t="shared" si="78"/>
        <v>45366</v>
      </c>
      <c r="M865" s="35">
        <f t="shared" si="79"/>
        <v>0</v>
      </c>
      <c r="N865" s="35">
        <f t="shared" si="80"/>
        <v>30000</v>
      </c>
      <c r="O865" s="35">
        <f t="shared" si="81"/>
        <v>1.2295081967213115</v>
      </c>
      <c r="P865" s="35">
        <f t="shared" si="82"/>
        <v>2.459016393442623</v>
      </c>
    </row>
    <row r="866" spans="12:16" ht="15" hidden="1" customHeight="1">
      <c r="L866" s="43">
        <f t="shared" si="78"/>
        <v>45367</v>
      </c>
      <c r="M866" s="35">
        <f t="shared" si="79"/>
        <v>0</v>
      </c>
      <c r="N866" s="35">
        <f t="shared" si="80"/>
        <v>30000</v>
      </c>
      <c r="O866" s="35">
        <f t="shared" si="81"/>
        <v>1.2295081967213115</v>
      </c>
      <c r="P866" s="35">
        <f t="shared" si="82"/>
        <v>2.459016393442623</v>
      </c>
    </row>
    <row r="867" spans="12:16" ht="15" hidden="1" customHeight="1">
      <c r="L867" s="43">
        <f t="shared" si="78"/>
        <v>45368</v>
      </c>
      <c r="M867" s="35">
        <f t="shared" si="79"/>
        <v>0</v>
      </c>
      <c r="N867" s="35">
        <f t="shared" si="80"/>
        <v>30000</v>
      </c>
      <c r="O867" s="35">
        <f t="shared" si="81"/>
        <v>1.2295081967213115</v>
      </c>
      <c r="P867" s="35">
        <f t="shared" si="82"/>
        <v>2.459016393442623</v>
      </c>
    </row>
    <row r="868" spans="12:16" ht="15" hidden="1" customHeight="1">
      <c r="L868" s="43">
        <f t="shared" si="78"/>
        <v>45369</v>
      </c>
      <c r="M868" s="35">
        <f t="shared" si="79"/>
        <v>0</v>
      </c>
      <c r="N868" s="35">
        <f t="shared" si="80"/>
        <v>30000</v>
      </c>
      <c r="O868" s="35">
        <f t="shared" si="81"/>
        <v>1.2295081967213115</v>
      </c>
      <c r="P868" s="35">
        <f t="shared" si="82"/>
        <v>2.459016393442623</v>
      </c>
    </row>
    <row r="869" spans="12:16" ht="15" hidden="1" customHeight="1">
      <c r="L869" s="43">
        <f t="shared" si="78"/>
        <v>45370</v>
      </c>
      <c r="M869" s="35">
        <f t="shared" si="79"/>
        <v>0</v>
      </c>
      <c r="N869" s="35">
        <f t="shared" si="80"/>
        <v>30000</v>
      </c>
      <c r="O869" s="35">
        <f t="shared" si="81"/>
        <v>1.2295081967213115</v>
      </c>
      <c r="P869" s="35">
        <f t="shared" si="82"/>
        <v>2.459016393442623</v>
      </c>
    </row>
    <row r="870" spans="12:16" ht="15" hidden="1" customHeight="1">
      <c r="L870" s="43">
        <f t="shared" si="78"/>
        <v>45371</v>
      </c>
      <c r="M870" s="35">
        <f t="shared" si="79"/>
        <v>0</v>
      </c>
      <c r="N870" s="35">
        <f t="shared" si="80"/>
        <v>30000</v>
      </c>
      <c r="O870" s="35">
        <f t="shared" si="81"/>
        <v>1.2295081967213115</v>
      </c>
      <c r="P870" s="35">
        <f t="shared" si="82"/>
        <v>2.459016393442623</v>
      </c>
    </row>
    <row r="871" spans="12:16" ht="15" hidden="1" customHeight="1">
      <c r="L871" s="43">
        <f t="shared" si="78"/>
        <v>45372</v>
      </c>
      <c r="M871" s="35">
        <f t="shared" si="79"/>
        <v>0</v>
      </c>
      <c r="N871" s="35">
        <f t="shared" si="80"/>
        <v>30000</v>
      </c>
      <c r="O871" s="35">
        <f t="shared" si="81"/>
        <v>1.2295081967213115</v>
      </c>
      <c r="P871" s="35">
        <f t="shared" si="82"/>
        <v>2.459016393442623</v>
      </c>
    </row>
    <row r="872" spans="12:16" ht="15" hidden="1" customHeight="1">
      <c r="L872" s="43">
        <f t="shared" si="78"/>
        <v>45373</v>
      </c>
      <c r="M872" s="35">
        <f t="shared" si="79"/>
        <v>0</v>
      </c>
      <c r="N872" s="35">
        <f t="shared" si="80"/>
        <v>30000</v>
      </c>
      <c r="O872" s="35">
        <f t="shared" si="81"/>
        <v>1.2295081967213115</v>
      </c>
      <c r="P872" s="35">
        <f t="shared" si="82"/>
        <v>2.459016393442623</v>
      </c>
    </row>
    <row r="873" spans="12:16" ht="15" hidden="1" customHeight="1">
      <c r="L873" s="43">
        <f t="shared" si="78"/>
        <v>45374</v>
      </c>
      <c r="M873" s="35">
        <f t="shared" si="79"/>
        <v>0</v>
      </c>
      <c r="N873" s="35">
        <f t="shared" si="80"/>
        <v>30000</v>
      </c>
      <c r="O873" s="35">
        <f t="shared" si="81"/>
        <v>1.2295081967213115</v>
      </c>
      <c r="P873" s="35">
        <f t="shared" si="82"/>
        <v>2.459016393442623</v>
      </c>
    </row>
    <row r="874" spans="12:16" ht="15" hidden="1" customHeight="1">
      <c r="L874" s="43">
        <f t="shared" si="78"/>
        <v>45375</v>
      </c>
      <c r="M874" s="35">
        <f t="shared" si="79"/>
        <v>0</v>
      </c>
      <c r="N874" s="35">
        <f t="shared" si="80"/>
        <v>30000</v>
      </c>
      <c r="O874" s="35">
        <f t="shared" si="81"/>
        <v>1.2295081967213115</v>
      </c>
      <c r="P874" s="35">
        <f t="shared" si="82"/>
        <v>2.459016393442623</v>
      </c>
    </row>
    <row r="875" spans="12:16" ht="15" hidden="1" customHeight="1">
      <c r="L875" s="43">
        <f t="shared" si="78"/>
        <v>45376</v>
      </c>
      <c r="M875" s="35">
        <f t="shared" si="79"/>
        <v>0</v>
      </c>
      <c r="N875" s="35">
        <f t="shared" si="80"/>
        <v>30000</v>
      </c>
      <c r="O875" s="35">
        <f t="shared" si="81"/>
        <v>1.2295081967213115</v>
      </c>
      <c r="P875" s="35">
        <f t="shared" si="82"/>
        <v>2.459016393442623</v>
      </c>
    </row>
    <row r="876" spans="12:16" ht="15" hidden="1" customHeight="1">
      <c r="L876" s="43">
        <f t="shared" si="78"/>
        <v>45377</v>
      </c>
      <c r="M876" s="35">
        <f t="shared" si="79"/>
        <v>0</v>
      </c>
      <c r="N876" s="35">
        <f t="shared" si="80"/>
        <v>30000</v>
      </c>
      <c r="O876" s="35">
        <f t="shared" si="81"/>
        <v>1.2295081967213115</v>
      </c>
      <c r="P876" s="35">
        <f t="shared" si="82"/>
        <v>2.459016393442623</v>
      </c>
    </row>
    <row r="877" spans="12:16" ht="15" hidden="1" customHeight="1">
      <c r="L877" s="43">
        <f t="shared" si="78"/>
        <v>45378</v>
      </c>
      <c r="M877" s="35">
        <f t="shared" si="79"/>
        <v>0</v>
      </c>
      <c r="N877" s="35">
        <f t="shared" si="80"/>
        <v>30000</v>
      </c>
      <c r="O877" s="35">
        <f t="shared" si="81"/>
        <v>1.2295081967213115</v>
      </c>
      <c r="P877" s="35">
        <f t="shared" si="82"/>
        <v>2.459016393442623</v>
      </c>
    </row>
    <row r="878" spans="12:16" ht="15" hidden="1" customHeight="1">
      <c r="L878" s="43">
        <f t="shared" si="78"/>
        <v>45379</v>
      </c>
      <c r="M878" s="35">
        <f t="shared" si="79"/>
        <v>0</v>
      </c>
      <c r="N878" s="35">
        <f t="shared" si="80"/>
        <v>30000</v>
      </c>
      <c r="O878" s="35">
        <f t="shared" si="81"/>
        <v>1.2295081967213115</v>
      </c>
      <c r="P878" s="35">
        <f t="shared" si="82"/>
        <v>2.459016393442623</v>
      </c>
    </row>
    <row r="879" spans="12:16" ht="15" hidden="1" customHeight="1">
      <c r="L879" s="43">
        <f t="shared" si="78"/>
        <v>45380</v>
      </c>
      <c r="M879" s="35">
        <f t="shared" si="79"/>
        <v>0</v>
      </c>
      <c r="N879" s="35">
        <f t="shared" si="80"/>
        <v>30000</v>
      </c>
      <c r="O879" s="35">
        <f t="shared" si="81"/>
        <v>1.2295081967213115</v>
      </c>
      <c r="P879" s="35">
        <f t="shared" si="82"/>
        <v>2.459016393442623</v>
      </c>
    </row>
    <row r="880" spans="12:16" ht="15" hidden="1" customHeight="1">
      <c r="L880" s="43">
        <f t="shared" si="78"/>
        <v>45381</v>
      </c>
      <c r="M880" s="35">
        <f t="shared" si="79"/>
        <v>0</v>
      </c>
      <c r="N880" s="35">
        <f t="shared" si="80"/>
        <v>30000</v>
      </c>
      <c r="O880" s="35">
        <f t="shared" si="81"/>
        <v>1.2295081967213115</v>
      </c>
      <c r="P880" s="35">
        <f t="shared" si="82"/>
        <v>2.459016393442623</v>
      </c>
    </row>
    <row r="881" spans="12:16" ht="15" hidden="1" customHeight="1">
      <c r="L881" s="43">
        <f t="shared" si="78"/>
        <v>45382</v>
      </c>
      <c r="M881" s="35">
        <f t="shared" si="79"/>
        <v>2500</v>
      </c>
      <c r="N881" s="35">
        <f t="shared" si="80"/>
        <v>27500</v>
      </c>
      <c r="O881" s="35">
        <f t="shared" si="81"/>
        <v>1.2295081967213115</v>
      </c>
      <c r="P881" s="35">
        <f t="shared" si="82"/>
        <v>2.459016393442623</v>
      </c>
    </row>
    <row r="882" spans="12:16" ht="15" hidden="1" customHeight="1">
      <c r="L882" s="43">
        <f t="shared" si="78"/>
        <v>45383</v>
      </c>
      <c r="M882" s="35">
        <f t="shared" si="79"/>
        <v>0</v>
      </c>
      <c r="N882" s="35">
        <f t="shared" si="80"/>
        <v>27500</v>
      </c>
      <c r="O882" s="35">
        <f t="shared" si="81"/>
        <v>1.1270491803278688</v>
      </c>
      <c r="P882" s="35">
        <f t="shared" si="82"/>
        <v>2.2540983606557377</v>
      </c>
    </row>
    <row r="883" spans="12:16" ht="15" hidden="1" customHeight="1">
      <c r="L883" s="43">
        <f t="shared" si="78"/>
        <v>45384</v>
      </c>
      <c r="M883" s="35">
        <f t="shared" si="79"/>
        <v>0</v>
      </c>
      <c r="N883" s="35">
        <f t="shared" si="80"/>
        <v>27500</v>
      </c>
      <c r="O883" s="35">
        <f t="shared" si="81"/>
        <v>1.1270491803278688</v>
      </c>
      <c r="P883" s="35">
        <f t="shared" si="82"/>
        <v>2.2540983606557377</v>
      </c>
    </row>
    <row r="884" spans="12:16" ht="15" hidden="1" customHeight="1">
      <c r="L884" s="43">
        <f t="shared" si="78"/>
        <v>45385</v>
      </c>
      <c r="M884" s="35">
        <f t="shared" si="79"/>
        <v>0</v>
      </c>
      <c r="N884" s="35">
        <f t="shared" si="80"/>
        <v>27500</v>
      </c>
      <c r="O884" s="35">
        <f t="shared" si="81"/>
        <v>1.1270491803278688</v>
      </c>
      <c r="P884" s="35">
        <f t="shared" si="82"/>
        <v>2.2540983606557377</v>
      </c>
    </row>
    <row r="885" spans="12:16" ht="15" hidden="1" customHeight="1">
      <c r="L885" s="43">
        <f t="shared" si="78"/>
        <v>45386</v>
      </c>
      <c r="M885" s="35">
        <f t="shared" si="79"/>
        <v>0</v>
      </c>
      <c r="N885" s="35">
        <f t="shared" si="80"/>
        <v>27500</v>
      </c>
      <c r="O885" s="35">
        <f t="shared" si="81"/>
        <v>1.1270491803278688</v>
      </c>
      <c r="P885" s="35">
        <f t="shared" si="82"/>
        <v>2.2540983606557377</v>
      </c>
    </row>
    <row r="886" spans="12:16" ht="15" hidden="1" customHeight="1">
      <c r="L886" s="43">
        <f t="shared" si="78"/>
        <v>45387</v>
      </c>
      <c r="M886" s="35">
        <f t="shared" si="79"/>
        <v>0</v>
      </c>
      <c r="N886" s="35">
        <f t="shared" si="80"/>
        <v>27500</v>
      </c>
      <c r="O886" s="35">
        <f t="shared" si="81"/>
        <v>1.1270491803278688</v>
      </c>
      <c r="P886" s="35">
        <f t="shared" si="82"/>
        <v>2.2540983606557377</v>
      </c>
    </row>
    <row r="887" spans="12:16" ht="15" hidden="1" customHeight="1">
      <c r="L887" s="43">
        <f t="shared" si="78"/>
        <v>45388</v>
      </c>
      <c r="M887" s="35">
        <f t="shared" si="79"/>
        <v>0</v>
      </c>
      <c r="N887" s="35">
        <f t="shared" si="80"/>
        <v>27500</v>
      </c>
      <c r="O887" s="35">
        <f t="shared" si="81"/>
        <v>1.1270491803278688</v>
      </c>
      <c r="P887" s="35">
        <f t="shared" si="82"/>
        <v>2.2540983606557377</v>
      </c>
    </row>
    <row r="888" spans="12:16" ht="15" hidden="1" customHeight="1">
      <c r="L888" s="43">
        <f t="shared" si="78"/>
        <v>45389</v>
      </c>
      <c r="M888" s="35">
        <f t="shared" si="79"/>
        <v>0</v>
      </c>
      <c r="N888" s="35">
        <f t="shared" si="80"/>
        <v>27500</v>
      </c>
      <c r="O888" s="35">
        <f t="shared" si="81"/>
        <v>1.1270491803278688</v>
      </c>
      <c r="P888" s="35">
        <f t="shared" si="82"/>
        <v>2.2540983606557377</v>
      </c>
    </row>
    <row r="889" spans="12:16" ht="15" hidden="1" customHeight="1">
      <c r="L889" s="43">
        <f t="shared" si="78"/>
        <v>45390</v>
      </c>
      <c r="M889" s="35">
        <f t="shared" si="79"/>
        <v>0</v>
      </c>
      <c r="N889" s="35">
        <f t="shared" si="80"/>
        <v>27500</v>
      </c>
      <c r="O889" s="35">
        <f t="shared" si="81"/>
        <v>1.1270491803278688</v>
      </c>
      <c r="P889" s="35">
        <f t="shared" si="82"/>
        <v>2.2540983606557377</v>
      </c>
    </row>
    <row r="890" spans="12:16" ht="15" hidden="1" customHeight="1">
      <c r="L890" s="43">
        <f t="shared" si="78"/>
        <v>45391</v>
      </c>
      <c r="M890" s="35">
        <f t="shared" si="79"/>
        <v>0</v>
      </c>
      <c r="N890" s="35">
        <f t="shared" si="80"/>
        <v>27500</v>
      </c>
      <c r="O890" s="35">
        <f t="shared" si="81"/>
        <v>1.1270491803278688</v>
      </c>
      <c r="P890" s="35">
        <f t="shared" si="82"/>
        <v>2.2540983606557377</v>
      </c>
    </row>
    <row r="891" spans="12:16" ht="15" hidden="1" customHeight="1">
      <c r="L891" s="43">
        <f t="shared" si="78"/>
        <v>45392</v>
      </c>
      <c r="M891" s="35">
        <f t="shared" si="79"/>
        <v>0</v>
      </c>
      <c r="N891" s="35">
        <f t="shared" si="80"/>
        <v>27500</v>
      </c>
      <c r="O891" s="35">
        <f t="shared" si="81"/>
        <v>1.1270491803278688</v>
      </c>
      <c r="P891" s="35">
        <f t="shared" si="82"/>
        <v>2.2540983606557377</v>
      </c>
    </row>
    <row r="892" spans="12:16" ht="15" hidden="1" customHeight="1">
      <c r="L892" s="43">
        <f t="shared" si="78"/>
        <v>45393</v>
      </c>
      <c r="M892" s="35">
        <f t="shared" si="79"/>
        <v>0</v>
      </c>
      <c r="N892" s="35">
        <f t="shared" si="80"/>
        <v>27500</v>
      </c>
      <c r="O892" s="35">
        <f t="shared" si="81"/>
        <v>1.1270491803278688</v>
      </c>
      <c r="P892" s="35">
        <f t="shared" si="82"/>
        <v>2.2540983606557377</v>
      </c>
    </row>
    <row r="893" spans="12:16" ht="15" hidden="1" customHeight="1">
      <c r="L893" s="43">
        <f t="shared" si="78"/>
        <v>45394</v>
      </c>
      <c r="M893" s="35">
        <f t="shared" si="79"/>
        <v>0</v>
      </c>
      <c r="N893" s="35">
        <f t="shared" si="80"/>
        <v>27500</v>
      </c>
      <c r="O893" s="35">
        <f t="shared" si="81"/>
        <v>1.1270491803278688</v>
      </c>
      <c r="P893" s="35">
        <f t="shared" si="82"/>
        <v>2.2540983606557377</v>
      </c>
    </row>
    <row r="894" spans="12:16" ht="15" hidden="1" customHeight="1">
      <c r="L894" s="43">
        <f t="shared" si="78"/>
        <v>45395</v>
      </c>
      <c r="M894" s="35">
        <f t="shared" si="79"/>
        <v>0</v>
      </c>
      <c r="N894" s="35">
        <f t="shared" si="80"/>
        <v>27500</v>
      </c>
      <c r="O894" s="35">
        <f t="shared" si="81"/>
        <v>1.1270491803278688</v>
      </c>
      <c r="P894" s="35">
        <f t="shared" si="82"/>
        <v>2.2540983606557377</v>
      </c>
    </row>
    <row r="895" spans="12:16" ht="15" hidden="1" customHeight="1">
      <c r="L895" s="43">
        <f t="shared" si="78"/>
        <v>45396</v>
      </c>
      <c r="M895" s="35">
        <f t="shared" si="79"/>
        <v>0</v>
      </c>
      <c r="N895" s="35">
        <f t="shared" si="80"/>
        <v>27500</v>
      </c>
      <c r="O895" s="35">
        <f t="shared" si="81"/>
        <v>1.1270491803278688</v>
      </c>
      <c r="P895" s="35">
        <f t="shared" si="82"/>
        <v>2.2540983606557377</v>
      </c>
    </row>
    <row r="896" spans="12:16" ht="15" hidden="1" customHeight="1">
      <c r="L896" s="43">
        <f t="shared" si="78"/>
        <v>45397</v>
      </c>
      <c r="M896" s="35">
        <f t="shared" si="79"/>
        <v>0</v>
      </c>
      <c r="N896" s="35">
        <f t="shared" si="80"/>
        <v>27500</v>
      </c>
      <c r="O896" s="35">
        <f t="shared" si="81"/>
        <v>1.1270491803278688</v>
      </c>
      <c r="P896" s="35">
        <f t="shared" si="82"/>
        <v>2.2540983606557377</v>
      </c>
    </row>
    <row r="897" spans="12:16" ht="15" hidden="1" customHeight="1">
      <c r="L897" s="43">
        <f t="shared" si="78"/>
        <v>45398</v>
      </c>
      <c r="M897" s="35">
        <f t="shared" si="79"/>
        <v>0</v>
      </c>
      <c r="N897" s="35">
        <f t="shared" si="80"/>
        <v>27500</v>
      </c>
      <c r="O897" s="35">
        <f t="shared" si="81"/>
        <v>1.1270491803278688</v>
      </c>
      <c r="P897" s="35">
        <f t="shared" si="82"/>
        <v>2.2540983606557377</v>
      </c>
    </row>
    <row r="898" spans="12:16" ht="15" hidden="1" customHeight="1">
      <c r="L898" s="43">
        <f t="shared" si="78"/>
        <v>45399</v>
      </c>
      <c r="M898" s="35">
        <f t="shared" si="79"/>
        <v>0</v>
      </c>
      <c r="N898" s="35">
        <f t="shared" si="80"/>
        <v>27500</v>
      </c>
      <c r="O898" s="35">
        <f t="shared" si="81"/>
        <v>1.1270491803278688</v>
      </c>
      <c r="P898" s="35">
        <f t="shared" si="82"/>
        <v>2.2540983606557377</v>
      </c>
    </row>
    <row r="899" spans="12:16" ht="15" hidden="1" customHeight="1">
      <c r="L899" s="43">
        <f t="shared" si="78"/>
        <v>45400</v>
      </c>
      <c r="M899" s="35">
        <f t="shared" si="79"/>
        <v>0</v>
      </c>
      <c r="N899" s="35">
        <f t="shared" si="80"/>
        <v>27500</v>
      </c>
      <c r="O899" s="35">
        <f t="shared" si="81"/>
        <v>1.1270491803278688</v>
      </c>
      <c r="P899" s="35">
        <f t="shared" si="82"/>
        <v>2.2540983606557377</v>
      </c>
    </row>
    <row r="900" spans="12:16" ht="15" hidden="1" customHeight="1">
      <c r="L900" s="43">
        <f t="shared" si="78"/>
        <v>45401</v>
      </c>
      <c r="M900" s="35">
        <f t="shared" si="79"/>
        <v>0</v>
      </c>
      <c r="N900" s="35">
        <f t="shared" si="80"/>
        <v>27500</v>
      </c>
      <c r="O900" s="35">
        <f t="shared" si="81"/>
        <v>1.1270491803278688</v>
      </c>
      <c r="P900" s="35">
        <f t="shared" si="82"/>
        <v>2.2540983606557377</v>
      </c>
    </row>
    <row r="901" spans="12:16" ht="15" hidden="1" customHeight="1">
      <c r="L901" s="43">
        <f t="shared" si="78"/>
        <v>45402</v>
      </c>
      <c r="M901" s="35">
        <f t="shared" si="79"/>
        <v>0</v>
      </c>
      <c r="N901" s="35">
        <f t="shared" si="80"/>
        <v>27500</v>
      </c>
      <c r="O901" s="35">
        <f t="shared" si="81"/>
        <v>1.1270491803278688</v>
      </c>
      <c r="P901" s="35">
        <f t="shared" si="82"/>
        <v>2.2540983606557377</v>
      </c>
    </row>
    <row r="902" spans="12:16" ht="15" hidden="1" customHeight="1">
      <c r="L902" s="43">
        <f t="shared" si="78"/>
        <v>45403</v>
      </c>
      <c r="M902" s="35">
        <f t="shared" si="79"/>
        <v>0</v>
      </c>
      <c r="N902" s="35">
        <f t="shared" si="80"/>
        <v>27500</v>
      </c>
      <c r="O902" s="35">
        <f t="shared" si="81"/>
        <v>1.1270491803278688</v>
      </c>
      <c r="P902" s="35">
        <f t="shared" si="82"/>
        <v>2.2540983606557377</v>
      </c>
    </row>
    <row r="903" spans="12:16" ht="15" hidden="1" customHeight="1">
      <c r="L903" s="43">
        <f t="shared" si="78"/>
        <v>45404</v>
      </c>
      <c r="M903" s="35">
        <f t="shared" si="79"/>
        <v>0</v>
      </c>
      <c r="N903" s="35">
        <f t="shared" si="80"/>
        <v>27500</v>
      </c>
      <c r="O903" s="35">
        <f t="shared" si="81"/>
        <v>1.1270491803278688</v>
      </c>
      <c r="P903" s="35">
        <f t="shared" si="82"/>
        <v>2.2540983606557377</v>
      </c>
    </row>
    <row r="904" spans="12:16" ht="15" hidden="1" customHeight="1">
      <c r="L904" s="43">
        <f t="shared" si="78"/>
        <v>45405</v>
      </c>
      <c r="M904" s="35">
        <f t="shared" si="79"/>
        <v>0</v>
      </c>
      <c r="N904" s="35">
        <f t="shared" si="80"/>
        <v>27500</v>
      </c>
      <c r="O904" s="35">
        <f t="shared" si="81"/>
        <v>1.1270491803278688</v>
      </c>
      <c r="P904" s="35">
        <f t="shared" si="82"/>
        <v>2.2540983606557377</v>
      </c>
    </row>
    <row r="905" spans="12:16" ht="15" hidden="1" customHeight="1">
      <c r="L905" s="43">
        <f t="shared" si="78"/>
        <v>45406</v>
      </c>
      <c r="M905" s="35">
        <f t="shared" si="79"/>
        <v>0</v>
      </c>
      <c r="N905" s="35">
        <f t="shared" si="80"/>
        <v>27500</v>
      </c>
      <c r="O905" s="35">
        <f t="shared" si="81"/>
        <v>1.1270491803278688</v>
      </c>
      <c r="P905" s="35">
        <f t="shared" si="82"/>
        <v>2.2540983606557377</v>
      </c>
    </row>
    <row r="906" spans="12:16" ht="15" hidden="1" customHeight="1">
      <c r="L906" s="43">
        <f t="shared" si="78"/>
        <v>45407</v>
      </c>
      <c r="M906" s="35">
        <f t="shared" si="79"/>
        <v>0</v>
      </c>
      <c r="N906" s="35">
        <f t="shared" si="80"/>
        <v>27500</v>
      </c>
      <c r="O906" s="35">
        <f t="shared" si="81"/>
        <v>1.1270491803278688</v>
      </c>
      <c r="P906" s="35">
        <f t="shared" si="82"/>
        <v>2.2540983606557377</v>
      </c>
    </row>
    <row r="907" spans="12:16" ht="15" hidden="1" customHeight="1">
      <c r="L907" s="43">
        <f t="shared" si="78"/>
        <v>45408</v>
      </c>
      <c r="M907" s="35">
        <f t="shared" si="79"/>
        <v>0</v>
      </c>
      <c r="N907" s="35">
        <f t="shared" si="80"/>
        <v>27500</v>
      </c>
      <c r="O907" s="35">
        <f t="shared" si="81"/>
        <v>1.1270491803278688</v>
      </c>
      <c r="P907" s="35">
        <f t="shared" si="82"/>
        <v>2.2540983606557377</v>
      </c>
    </row>
    <row r="908" spans="12:16" ht="15" hidden="1" customHeight="1">
      <c r="L908" s="43">
        <f t="shared" si="78"/>
        <v>45409</v>
      </c>
      <c r="M908" s="35">
        <f t="shared" si="79"/>
        <v>0</v>
      </c>
      <c r="N908" s="35">
        <f t="shared" si="80"/>
        <v>27500</v>
      </c>
      <c r="O908" s="35">
        <f t="shared" si="81"/>
        <v>1.1270491803278688</v>
      </c>
      <c r="P908" s="35">
        <f t="shared" si="82"/>
        <v>2.2540983606557377</v>
      </c>
    </row>
    <row r="909" spans="12:16" ht="15" hidden="1" customHeight="1">
      <c r="L909" s="43">
        <f t="shared" si="78"/>
        <v>45410</v>
      </c>
      <c r="M909" s="35">
        <f t="shared" si="79"/>
        <v>0</v>
      </c>
      <c r="N909" s="35">
        <f t="shared" si="80"/>
        <v>27500</v>
      </c>
      <c r="O909" s="35">
        <f t="shared" si="81"/>
        <v>1.1270491803278688</v>
      </c>
      <c r="P909" s="35">
        <f t="shared" si="82"/>
        <v>2.2540983606557377</v>
      </c>
    </row>
    <row r="910" spans="12:16" ht="15" hidden="1" customHeight="1">
      <c r="L910" s="43">
        <f t="shared" si="78"/>
        <v>45411</v>
      </c>
      <c r="M910" s="35">
        <f t="shared" si="79"/>
        <v>0</v>
      </c>
      <c r="N910" s="35">
        <f t="shared" si="80"/>
        <v>27500</v>
      </c>
      <c r="O910" s="35">
        <f t="shared" si="81"/>
        <v>1.1270491803278688</v>
      </c>
      <c r="P910" s="35">
        <f t="shared" si="82"/>
        <v>2.2540983606557377</v>
      </c>
    </row>
    <row r="911" spans="12:16" ht="15" hidden="1" customHeight="1">
      <c r="L911" s="43">
        <f t="shared" si="78"/>
        <v>45412</v>
      </c>
      <c r="M911" s="35">
        <f t="shared" si="79"/>
        <v>0</v>
      </c>
      <c r="N911" s="35">
        <f t="shared" si="80"/>
        <v>27500</v>
      </c>
      <c r="O911" s="35">
        <f t="shared" si="81"/>
        <v>1.1270491803278688</v>
      </c>
      <c r="P911" s="35">
        <f t="shared" si="82"/>
        <v>2.2540983606557377</v>
      </c>
    </row>
    <row r="912" spans="12:16" ht="15" hidden="1" customHeight="1">
      <c r="L912" s="43">
        <f t="shared" si="78"/>
        <v>45413</v>
      </c>
      <c r="M912" s="35">
        <f t="shared" si="79"/>
        <v>0</v>
      </c>
      <c r="N912" s="35">
        <f t="shared" si="80"/>
        <v>27500</v>
      </c>
      <c r="O912" s="35">
        <f t="shared" si="81"/>
        <v>1.1270491803278688</v>
      </c>
      <c r="P912" s="35">
        <f t="shared" si="82"/>
        <v>2.2540983606557377</v>
      </c>
    </row>
    <row r="913" spans="12:16" ht="15" hidden="1" customHeight="1">
      <c r="L913" s="43">
        <f t="shared" si="78"/>
        <v>45414</v>
      </c>
      <c r="M913" s="35">
        <f t="shared" si="79"/>
        <v>0</v>
      </c>
      <c r="N913" s="35">
        <f t="shared" si="80"/>
        <v>27500</v>
      </c>
      <c r="O913" s="35">
        <f t="shared" si="81"/>
        <v>1.1270491803278688</v>
      </c>
      <c r="P913" s="35">
        <f t="shared" si="82"/>
        <v>2.2540983606557377</v>
      </c>
    </row>
    <row r="914" spans="12:16" ht="15" hidden="1" customHeight="1">
      <c r="L914" s="43">
        <f t="shared" si="78"/>
        <v>45415</v>
      </c>
      <c r="M914" s="35">
        <f t="shared" si="79"/>
        <v>0</v>
      </c>
      <c r="N914" s="35">
        <f t="shared" si="80"/>
        <v>27500</v>
      </c>
      <c r="O914" s="35">
        <f t="shared" si="81"/>
        <v>1.1270491803278688</v>
      </c>
      <c r="P914" s="35">
        <f t="shared" si="82"/>
        <v>2.2540983606557377</v>
      </c>
    </row>
    <row r="915" spans="12:16" ht="15" hidden="1" customHeight="1">
      <c r="L915" s="43">
        <f t="shared" si="78"/>
        <v>45416</v>
      </c>
      <c r="M915" s="35">
        <f t="shared" si="79"/>
        <v>0</v>
      </c>
      <c r="N915" s="35">
        <f t="shared" si="80"/>
        <v>27500</v>
      </c>
      <c r="O915" s="35">
        <f t="shared" si="81"/>
        <v>1.1270491803278688</v>
      </c>
      <c r="P915" s="35">
        <f t="shared" si="82"/>
        <v>2.2540983606557377</v>
      </c>
    </row>
    <row r="916" spans="12:16" ht="15" hidden="1" customHeight="1">
      <c r="L916" s="43">
        <f t="shared" si="78"/>
        <v>45417</v>
      </c>
      <c r="M916" s="35">
        <f t="shared" si="79"/>
        <v>0</v>
      </c>
      <c r="N916" s="35">
        <f t="shared" si="80"/>
        <v>27500</v>
      </c>
      <c r="O916" s="35">
        <f t="shared" si="81"/>
        <v>1.1270491803278688</v>
      </c>
      <c r="P916" s="35">
        <f t="shared" si="82"/>
        <v>2.2540983606557377</v>
      </c>
    </row>
    <row r="917" spans="12:16" ht="15" hidden="1" customHeight="1">
      <c r="L917" s="43">
        <f t="shared" si="78"/>
        <v>45418</v>
      </c>
      <c r="M917" s="35">
        <f t="shared" si="79"/>
        <v>0</v>
      </c>
      <c r="N917" s="35">
        <f t="shared" si="80"/>
        <v>27500</v>
      </c>
      <c r="O917" s="35">
        <f t="shared" si="81"/>
        <v>1.1270491803278688</v>
      </c>
      <c r="P917" s="35">
        <f t="shared" si="82"/>
        <v>2.2540983606557377</v>
      </c>
    </row>
    <row r="918" spans="12:16" ht="15" hidden="1" customHeight="1">
      <c r="L918" s="43">
        <f t="shared" si="78"/>
        <v>45419</v>
      </c>
      <c r="M918" s="35">
        <f t="shared" si="79"/>
        <v>0</v>
      </c>
      <c r="N918" s="35">
        <f t="shared" si="80"/>
        <v>27500</v>
      </c>
      <c r="O918" s="35">
        <f t="shared" si="81"/>
        <v>1.1270491803278688</v>
      </c>
      <c r="P918" s="35">
        <f t="shared" si="82"/>
        <v>2.2540983606557377</v>
      </c>
    </row>
    <row r="919" spans="12:16" ht="15" hidden="1" customHeight="1">
      <c r="L919" s="43">
        <f t="shared" si="78"/>
        <v>45420</v>
      </c>
      <c r="M919" s="35">
        <f t="shared" si="79"/>
        <v>0</v>
      </c>
      <c r="N919" s="35">
        <f t="shared" si="80"/>
        <v>27500</v>
      </c>
      <c r="O919" s="35">
        <f t="shared" si="81"/>
        <v>1.1270491803278688</v>
      </c>
      <c r="P919" s="35">
        <f t="shared" si="82"/>
        <v>2.2540983606557377</v>
      </c>
    </row>
    <row r="920" spans="12:16" ht="15" hidden="1" customHeight="1">
      <c r="L920" s="43">
        <f t="shared" si="78"/>
        <v>45421</v>
      </c>
      <c r="M920" s="35">
        <f t="shared" si="79"/>
        <v>0</v>
      </c>
      <c r="N920" s="35">
        <f t="shared" si="80"/>
        <v>27500</v>
      </c>
      <c r="O920" s="35">
        <f t="shared" si="81"/>
        <v>1.1270491803278688</v>
      </c>
      <c r="P920" s="35">
        <f t="shared" si="82"/>
        <v>2.2540983606557377</v>
      </c>
    </row>
    <row r="921" spans="12:16" ht="15" hidden="1" customHeight="1">
      <c r="L921" s="43">
        <f t="shared" si="78"/>
        <v>45422</v>
      </c>
      <c r="M921" s="35">
        <f t="shared" si="79"/>
        <v>0</v>
      </c>
      <c r="N921" s="35">
        <f t="shared" si="80"/>
        <v>27500</v>
      </c>
      <c r="O921" s="35">
        <f t="shared" si="81"/>
        <v>1.1270491803278688</v>
      </c>
      <c r="P921" s="35">
        <f t="shared" si="82"/>
        <v>2.2540983606557377</v>
      </c>
    </row>
    <row r="922" spans="12:16" ht="15" hidden="1" customHeight="1">
      <c r="L922" s="43">
        <f t="shared" si="78"/>
        <v>45423</v>
      </c>
      <c r="M922" s="35">
        <f t="shared" si="79"/>
        <v>0</v>
      </c>
      <c r="N922" s="35">
        <f t="shared" si="80"/>
        <v>27500</v>
      </c>
      <c r="O922" s="35">
        <f t="shared" si="81"/>
        <v>1.1270491803278688</v>
      </c>
      <c r="P922" s="35">
        <f t="shared" si="82"/>
        <v>2.2540983606557377</v>
      </c>
    </row>
    <row r="923" spans="12:16" ht="15" hidden="1" customHeight="1">
      <c r="L923" s="43">
        <f t="shared" si="78"/>
        <v>45424</v>
      </c>
      <c r="M923" s="35">
        <f t="shared" si="79"/>
        <v>0</v>
      </c>
      <c r="N923" s="35">
        <f t="shared" si="80"/>
        <v>27500</v>
      </c>
      <c r="O923" s="35">
        <f t="shared" si="81"/>
        <v>1.1270491803278688</v>
      </c>
      <c r="P923" s="35">
        <f t="shared" si="82"/>
        <v>2.2540983606557377</v>
      </c>
    </row>
    <row r="924" spans="12:16" ht="15" hidden="1" customHeight="1">
      <c r="L924" s="43">
        <f t="shared" si="78"/>
        <v>45425</v>
      </c>
      <c r="M924" s="35">
        <f t="shared" si="79"/>
        <v>0</v>
      </c>
      <c r="N924" s="35">
        <f t="shared" si="80"/>
        <v>27500</v>
      </c>
      <c r="O924" s="35">
        <f t="shared" si="81"/>
        <v>1.1270491803278688</v>
      </c>
      <c r="P924" s="35">
        <f t="shared" si="82"/>
        <v>2.2540983606557377</v>
      </c>
    </row>
    <row r="925" spans="12:16" ht="15" hidden="1" customHeight="1">
      <c r="L925" s="43">
        <f t="shared" si="78"/>
        <v>45426</v>
      </c>
      <c r="M925" s="35">
        <f t="shared" si="79"/>
        <v>0</v>
      </c>
      <c r="N925" s="35">
        <f t="shared" si="80"/>
        <v>27500</v>
      </c>
      <c r="O925" s="35">
        <f t="shared" si="81"/>
        <v>1.1270491803278688</v>
      </c>
      <c r="P925" s="35">
        <f t="shared" si="82"/>
        <v>2.2540983606557377</v>
      </c>
    </row>
    <row r="926" spans="12:16" ht="15" hidden="1" customHeight="1">
      <c r="L926" s="43">
        <f t="shared" si="78"/>
        <v>45427</v>
      </c>
      <c r="M926" s="35">
        <f t="shared" si="79"/>
        <v>0</v>
      </c>
      <c r="N926" s="35">
        <f t="shared" si="80"/>
        <v>27500</v>
      </c>
      <c r="O926" s="35">
        <f t="shared" si="81"/>
        <v>1.1270491803278688</v>
      </c>
      <c r="P926" s="35">
        <f t="shared" si="82"/>
        <v>2.2540983606557377</v>
      </c>
    </row>
    <row r="927" spans="12:16" ht="15" hidden="1" customHeight="1">
      <c r="L927" s="43">
        <f t="shared" ref="L927:L990" si="83">IFERROR(IF(MAX(L926+1,Дата_получения_Займа+1)&gt;Дата_погашения_Займа,"-",MAX(L926+1,Дата_получения_Займа+1)),"-")</f>
        <v>45428</v>
      </c>
      <c r="M927" s="35">
        <f t="shared" ref="M927:M990" si="84">IFERROR(VLOOKUP(L927,$B$31:$E$59,4,FALSE),0)</f>
        <v>0</v>
      </c>
      <c r="N927" s="35">
        <f t="shared" ref="N927:N990" si="85">IF(ISNUMBER(N926),N926-M927,$E$20)</f>
        <v>27500</v>
      </c>
      <c r="O927" s="35">
        <f t="shared" ref="O927:O990" si="86">IFERROR(IF(ISNUMBER(N926),N926,$E$20)*IF(L927&gt;=$J$20,$E$25,$E$24)/IF(MOD(YEAR(L927),4),365,366)*IF(ISBLANK(L926),L927-$E$22,L927-L926),0)</f>
        <v>1.1270491803278688</v>
      </c>
      <c r="P927" s="35">
        <f t="shared" ref="P927:P990" si="87">IFERROR(IF(ISNUMBER(N926),N926,$E$20)*3%/IF(MOD(YEAR(L927),4),365,366)*IF(ISBLANK(L926),(L927-$E$22),L927-L926),0)</f>
        <v>2.2540983606557377</v>
      </c>
    </row>
    <row r="928" spans="12:16" ht="15" hidden="1" customHeight="1">
      <c r="L928" s="43">
        <f t="shared" si="83"/>
        <v>45429</v>
      </c>
      <c r="M928" s="35">
        <f t="shared" si="84"/>
        <v>0</v>
      </c>
      <c r="N928" s="35">
        <f t="shared" si="85"/>
        <v>27500</v>
      </c>
      <c r="O928" s="35">
        <f t="shared" si="86"/>
        <v>1.1270491803278688</v>
      </c>
      <c r="P928" s="35">
        <f t="shared" si="87"/>
        <v>2.2540983606557377</v>
      </c>
    </row>
    <row r="929" spans="12:16" ht="15" hidden="1" customHeight="1">
      <c r="L929" s="43">
        <f t="shared" si="83"/>
        <v>45430</v>
      </c>
      <c r="M929" s="35">
        <f t="shared" si="84"/>
        <v>0</v>
      </c>
      <c r="N929" s="35">
        <f t="shared" si="85"/>
        <v>27500</v>
      </c>
      <c r="O929" s="35">
        <f t="shared" si="86"/>
        <v>1.1270491803278688</v>
      </c>
      <c r="P929" s="35">
        <f t="shared" si="87"/>
        <v>2.2540983606557377</v>
      </c>
    </row>
    <row r="930" spans="12:16" ht="15" hidden="1" customHeight="1">
      <c r="L930" s="43">
        <f t="shared" si="83"/>
        <v>45431</v>
      </c>
      <c r="M930" s="35">
        <f t="shared" si="84"/>
        <v>0</v>
      </c>
      <c r="N930" s="35">
        <f t="shared" si="85"/>
        <v>27500</v>
      </c>
      <c r="O930" s="35">
        <f t="shared" si="86"/>
        <v>1.1270491803278688</v>
      </c>
      <c r="P930" s="35">
        <f t="shared" si="87"/>
        <v>2.2540983606557377</v>
      </c>
    </row>
    <row r="931" spans="12:16" ht="15" hidden="1" customHeight="1">
      <c r="L931" s="43">
        <f t="shared" si="83"/>
        <v>45432</v>
      </c>
      <c r="M931" s="35">
        <f t="shared" si="84"/>
        <v>0</v>
      </c>
      <c r="N931" s="35">
        <f t="shared" si="85"/>
        <v>27500</v>
      </c>
      <c r="O931" s="35">
        <f t="shared" si="86"/>
        <v>1.1270491803278688</v>
      </c>
      <c r="P931" s="35">
        <f t="shared" si="87"/>
        <v>2.2540983606557377</v>
      </c>
    </row>
    <row r="932" spans="12:16" ht="15" hidden="1" customHeight="1">
      <c r="L932" s="43">
        <f t="shared" si="83"/>
        <v>45433</v>
      </c>
      <c r="M932" s="35">
        <f t="shared" si="84"/>
        <v>0</v>
      </c>
      <c r="N932" s="35">
        <f t="shared" si="85"/>
        <v>27500</v>
      </c>
      <c r="O932" s="35">
        <f t="shared" si="86"/>
        <v>1.1270491803278688</v>
      </c>
      <c r="P932" s="35">
        <f t="shared" si="87"/>
        <v>2.2540983606557377</v>
      </c>
    </row>
    <row r="933" spans="12:16" ht="15" hidden="1" customHeight="1">
      <c r="L933" s="43">
        <f t="shared" si="83"/>
        <v>45434</v>
      </c>
      <c r="M933" s="35">
        <f t="shared" si="84"/>
        <v>0</v>
      </c>
      <c r="N933" s="35">
        <f t="shared" si="85"/>
        <v>27500</v>
      </c>
      <c r="O933" s="35">
        <f t="shared" si="86"/>
        <v>1.1270491803278688</v>
      </c>
      <c r="P933" s="35">
        <f t="shared" si="87"/>
        <v>2.2540983606557377</v>
      </c>
    </row>
    <row r="934" spans="12:16" ht="15" hidden="1" customHeight="1">
      <c r="L934" s="43">
        <f t="shared" si="83"/>
        <v>45435</v>
      </c>
      <c r="M934" s="35">
        <f t="shared" si="84"/>
        <v>0</v>
      </c>
      <c r="N934" s="35">
        <f t="shared" si="85"/>
        <v>27500</v>
      </c>
      <c r="O934" s="35">
        <f t="shared" si="86"/>
        <v>1.1270491803278688</v>
      </c>
      <c r="P934" s="35">
        <f t="shared" si="87"/>
        <v>2.2540983606557377</v>
      </c>
    </row>
    <row r="935" spans="12:16" ht="15" hidden="1" customHeight="1">
      <c r="L935" s="43">
        <f t="shared" si="83"/>
        <v>45436</v>
      </c>
      <c r="M935" s="35">
        <f t="shared" si="84"/>
        <v>0</v>
      </c>
      <c r="N935" s="35">
        <f t="shared" si="85"/>
        <v>27500</v>
      </c>
      <c r="O935" s="35">
        <f t="shared" si="86"/>
        <v>1.1270491803278688</v>
      </c>
      <c r="P935" s="35">
        <f t="shared" si="87"/>
        <v>2.2540983606557377</v>
      </c>
    </row>
    <row r="936" spans="12:16" ht="15" hidden="1" customHeight="1">
      <c r="L936" s="43">
        <f t="shared" si="83"/>
        <v>45437</v>
      </c>
      <c r="M936" s="35">
        <f t="shared" si="84"/>
        <v>0</v>
      </c>
      <c r="N936" s="35">
        <f t="shared" si="85"/>
        <v>27500</v>
      </c>
      <c r="O936" s="35">
        <f t="shared" si="86"/>
        <v>1.1270491803278688</v>
      </c>
      <c r="P936" s="35">
        <f t="shared" si="87"/>
        <v>2.2540983606557377</v>
      </c>
    </row>
    <row r="937" spans="12:16" ht="15" hidden="1" customHeight="1">
      <c r="L937" s="43">
        <f t="shared" si="83"/>
        <v>45438</v>
      </c>
      <c r="M937" s="35">
        <f t="shared" si="84"/>
        <v>0</v>
      </c>
      <c r="N937" s="35">
        <f t="shared" si="85"/>
        <v>27500</v>
      </c>
      <c r="O937" s="35">
        <f t="shared" si="86"/>
        <v>1.1270491803278688</v>
      </c>
      <c r="P937" s="35">
        <f t="shared" si="87"/>
        <v>2.2540983606557377</v>
      </c>
    </row>
    <row r="938" spans="12:16" ht="15" hidden="1" customHeight="1">
      <c r="L938" s="43">
        <f t="shared" si="83"/>
        <v>45439</v>
      </c>
      <c r="M938" s="35">
        <f t="shared" si="84"/>
        <v>0</v>
      </c>
      <c r="N938" s="35">
        <f t="shared" si="85"/>
        <v>27500</v>
      </c>
      <c r="O938" s="35">
        <f t="shared" si="86"/>
        <v>1.1270491803278688</v>
      </c>
      <c r="P938" s="35">
        <f t="shared" si="87"/>
        <v>2.2540983606557377</v>
      </c>
    </row>
    <row r="939" spans="12:16" ht="15" hidden="1" customHeight="1">
      <c r="L939" s="43">
        <f t="shared" si="83"/>
        <v>45440</v>
      </c>
      <c r="M939" s="35">
        <f t="shared" si="84"/>
        <v>0</v>
      </c>
      <c r="N939" s="35">
        <f t="shared" si="85"/>
        <v>27500</v>
      </c>
      <c r="O939" s="35">
        <f t="shared" si="86"/>
        <v>1.1270491803278688</v>
      </c>
      <c r="P939" s="35">
        <f t="shared" si="87"/>
        <v>2.2540983606557377</v>
      </c>
    </row>
    <row r="940" spans="12:16" ht="15" hidden="1" customHeight="1">
      <c r="L940" s="43">
        <f t="shared" si="83"/>
        <v>45441</v>
      </c>
      <c r="M940" s="35">
        <f t="shared" si="84"/>
        <v>0</v>
      </c>
      <c r="N940" s="35">
        <f t="shared" si="85"/>
        <v>27500</v>
      </c>
      <c r="O940" s="35">
        <f t="shared" si="86"/>
        <v>1.1270491803278688</v>
      </c>
      <c r="P940" s="35">
        <f t="shared" si="87"/>
        <v>2.2540983606557377</v>
      </c>
    </row>
    <row r="941" spans="12:16" ht="15" hidden="1" customHeight="1">
      <c r="L941" s="43">
        <f t="shared" si="83"/>
        <v>45442</v>
      </c>
      <c r="M941" s="35">
        <f t="shared" si="84"/>
        <v>0</v>
      </c>
      <c r="N941" s="35">
        <f t="shared" si="85"/>
        <v>27500</v>
      </c>
      <c r="O941" s="35">
        <f t="shared" si="86"/>
        <v>1.1270491803278688</v>
      </c>
      <c r="P941" s="35">
        <f t="shared" si="87"/>
        <v>2.2540983606557377</v>
      </c>
    </row>
    <row r="942" spans="12:16" ht="15" hidden="1" customHeight="1">
      <c r="L942" s="43">
        <f t="shared" si="83"/>
        <v>45443</v>
      </c>
      <c r="M942" s="35">
        <f t="shared" si="84"/>
        <v>0</v>
      </c>
      <c r="N942" s="35">
        <f t="shared" si="85"/>
        <v>27500</v>
      </c>
      <c r="O942" s="35">
        <f t="shared" si="86"/>
        <v>1.1270491803278688</v>
      </c>
      <c r="P942" s="35">
        <f t="shared" si="87"/>
        <v>2.2540983606557377</v>
      </c>
    </row>
    <row r="943" spans="12:16" ht="15" hidden="1" customHeight="1">
      <c r="L943" s="43">
        <f t="shared" si="83"/>
        <v>45444</v>
      </c>
      <c r="M943" s="35">
        <f t="shared" si="84"/>
        <v>0</v>
      </c>
      <c r="N943" s="35">
        <f t="shared" si="85"/>
        <v>27500</v>
      </c>
      <c r="O943" s="35">
        <f t="shared" si="86"/>
        <v>1.1270491803278688</v>
      </c>
      <c r="P943" s="35">
        <f t="shared" si="87"/>
        <v>2.2540983606557377</v>
      </c>
    </row>
    <row r="944" spans="12:16" ht="15" hidden="1" customHeight="1">
      <c r="L944" s="43">
        <f t="shared" si="83"/>
        <v>45445</v>
      </c>
      <c r="M944" s="35">
        <f t="shared" si="84"/>
        <v>0</v>
      </c>
      <c r="N944" s="35">
        <f t="shared" si="85"/>
        <v>27500</v>
      </c>
      <c r="O944" s="35">
        <f t="shared" si="86"/>
        <v>1.1270491803278688</v>
      </c>
      <c r="P944" s="35">
        <f t="shared" si="87"/>
        <v>2.2540983606557377</v>
      </c>
    </row>
    <row r="945" spans="12:16" ht="15" hidden="1" customHeight="1">
      <c r="L945" s="43">
        <f t="shared" si="83"/>
        <v>45446</v>
      </c>
      <c r="M945" s="35">
        <f t="shared" si="84"/>
        <v>0</v>
      </c>
      <c r="N945" s="35">
        <f t="shared" si="85"/>
        <v>27500</v>
      </c>
      <c r="O945" s="35">
        <f t="shared" si="86"/>
        <v>1.1270491803278688</v>
      </c>
      <c r="P945" s="35">
        <f t="shared" si="87"/>
        <v>2.2540983606557377</v>
      </c>
    </row>
    <row r="946" spans="12:16" ht="15" hidden="1" customHeight="1">
      <c r="L946" s="43">
        <f t="shared" si="83"/>
        <v>45447</v>
      </c>
      <c r="M946" s="35">
        <f t="shared" si="84"/>
        <v>0</v>
      </c>
      <c r="N946" s="35">
        <f t="shared" si="85"/>
        <v>27500</v>
      </c>
      <c r="O946" s="35">
        <f t="shared" si="86"/>
        <v>1.1270491803278688</v>
      </c>
      <c r="P946" s="35">
        <f t="shared" si="87"/>
        <v>2.2540983606557377</v>
      </c>
    </row>
    <row r="947" spans="12:16" ht="15" hidden="1" customHeight="1">
      <c r="L947" s="43">
        <f t="shared" si="83"/>
        <v>45448</v>
      </c>
      <c r="M947" s="35">
        <f t="shared" si="84"/>
        <v>0</v>
      </c>
      <c r="N947" s="35">
        <f t="shared" si="85"/>
        <v>27500</v>
      </c>
      <c r="O947" s="35">
        <f t="shared" si="86"/>
        <v>1.1270491803278688</v>
      </c>
      <c r="P947" s="35">
        <f t="shared" si="87"/>
        <v>2.2540983606557377</v>
      </c>
    </row>
    <row r="948" spans="12:16" ht="15" hidden="1" customHeight="1">
      <c r="L948" s="43">
        <f t="shared" si="83"/>
        <v>45449</v>
      </c>
      <c r="M948" s="35">
        <f t="shared" si="84"/>
        <v>0</v>
      </c>
      <c r="N948" s="35">
        <f t="shared" si="85"/>
        <v>27500</v>
      </c>
      <c r="O948" s="35">
        <f t="shared" si="86"/>
        <v>1.1270491803278688</v>
      </c>
      <c r="P948" s="35">
        <f t="shared" si="87"/>
        <v>2.2540983606557377</v>
      </c>
    </row>
    <row r="949" spans="12:16" ht="15" hidden="1" customHeight="1">
      <c r="L949" s="43">
        <f t="shared" si="83"/>
        <v>45450</v>
      </c>
      <c r="M949" s="35">
        <f t="shared" si="84"/>
        <v>0</v>
      </c>
      <c r="N949" s="35">
        <f t="shared" si="85"/>
        <v>27500</v>
      </c>
      <c r="O949" s="35">
        <f t="shared" si="86"/>
        <v>1.1270491803278688</v>
      </c>
      <c r="P949" s="35">
        <f t="shared" si="87"/>
        <v>2.2540983606557377</v>
      </c>
    </row>
    <row r="950" spans="12:16" ht="15" hidden="1" customHeight="1">
      <c r="L950" s="43">
        <f t="shared" si="83"/>
        <v>45451</v>
      </c>
      <c r="M950" s="35">
        <f t="shared" si="84"/>
        <v>0</v>
      </c>
      <c r="N950" s="35">
        <f t="shared" si="85"/>
        <v>27500</v>
      </c>
      <c r="O950" s="35">
        <f t="shared" si="86"/>
        <v>1.1270491803278688</v>
      </c>
      <c r="P950" s="35">
        <f t="shared" si="87"/>
        <v>2.2540983606557377</v>
      </c>
    </row>
    <row r="951" spans="12:16" ht="15" hidden="1" customHeight="1">
      <c r="L951" s="43">
        <f t="shared" si="83"/>
        <v>45452</v>
      </c>
      <c r="M951" s="35">
        <f t="shared" si="84"/>
        <v>0</v>
      </c>
      <c r="N951" s="35">
        <f t="shared" si="85"/>
        <v>27500</v>
      </c>
      <c r="O951" s="35">
        <f t="shared" si="86"/>
        <v>1.1270491803278688</v>
      </c>
      <c r="P951" s="35">
        <f t="shared" si="87"/>
        <v>2.2540983606557377</v>
      </c>
    </row>
    <row r="952" spans="12:16" ht="15" hidden="1" customHeight="1">
      <c r="L952" s="43">
        <f t="shared" si="83"/>
        <v>45453</v>
      </c>
      <c r="M952" s="35">
        <f t="shared" si="84"/>
        <v>0</v>
      </c>
      <c r="N952" s="35">
        <f t="shared" si="85"/>
        <v>27500</v>
      </c>
      <c r="O952" s="35">
        <f t="shared" si="86"/>
        <v>1.1270491803278688</v>
      </c>
      <c r="P952" s="35">
        <f t="shared" si="87"/>
        <v>2.2540983606557377</v>
      </c>
    </row>
    <row r="953" spans="12:16" ht="15" hidden="1" customHeight="1">
      <c r="L953" s="43">
        <f t="shared" si="83"/>
        <v>45454</v>
      </c>
      <c r="M953" s="35">
        <f t="shared" si="84"/>
        <v>0</v>
      </c>
      <c r="N953" s="35">
        <f t="shared" si="85"/>
        <v>27500</v>
      </c>
      <c r="O953" s="35">
        <f t="shared" si="86"/>
        <v>1.1270491803278688</v>
      </c>
      <c r="P953" s="35">
        <f t="shared" si="87"/>
        <v>2.2540983606557377</v>
      </c>
    </row>
    <row r="954" spans="12:16" ht="15" hidden="1" customHeight="1">
      <c r="L954" s="43">
        <f t="shared" si="83"/>
        <v>45455</v>
      </c>
      <c r="M954" s="35">
        <f t="shared" si="84"/>
        <v>0</v>
      </c>
      <c r="N954" s="35">
        <f t="shared" si="85"/>
        <v>27500</v>
      </c>
      <c r="O954" s="35">
        <f t="shared" si="86"/>
        <v>1.1270491803278688</v>
      </c>
      <c r="P954" s="35">
        <f t="shared" si="87"/>
        <v>2.2540983606557377</v>
      </c>
    </row>
    <row r="955" spans="12:16" ht="15" hidden="1" customHeight="1">
      <c r="L955" s="43">
        <f t="shared" si="83"/>
        <v>45456</v>
      </c>
      <c r="M955" s="35">
        <f t="shared" si="84"/>
        <v>0</v>
      </c>
      <c r="N955" s="35">
        <f t="shared" si="85"/>
        <v>27500</v>
      </c>
      <c r="O955" s="35">
        <f t="shared" si="86"/>
        <v>1.1270491803278688</v>
      </c>
      <c r="P955" s="35">
        <f t="shared" si="87"/>
        <v>2.2540983606557377</v>
      </c>
    </row>
    <row r="956" spans="12:16" ht="15" hidden="1" customHeight="1">
      <c r="L956" s="43">
        <f t="shared" si="83"/>
        <v>45457</v>
      </c>
      <c r="M956" s="35">
        <f t="shared" si="84"/>
        <v>0</v>
      </c>
      <c r="N956" s="35">
        <f t="shared" si="85"/>
        <v>27500</v>
      </c>
      <c r="O956" s="35">
        <f t="shared" si="86"/>
        <v>1.1270491803278688</v>
      </c>
      <c r="P956" s="35">
        <f t="shared" si="87"/>
        <v>2.2540983606557377</v>
      </c>
    </row>
    <row r="957" spans="12:16" ht="15" hidden="1" customHeight="1">
      <c r="L957" s="43">
        <f t="shared" si="83"/>
        <v>45458</v>
      </c>
      <c r="M957" s="35">
        <f t="shared" si="84"/>
        <v>0</v>
      </c>
      <c r="N957" s="35">
        <f t="shared" si="85"/>
        <v>27500</v>
      </c>
      <c r="O957" s="35">
        <f t="shared" si="86"/>
        <v>1.1270491803278688</v>
      </c>
      <c r="P957" s="35">
        <f t="shared" si="87"/>
        <v>2.2540983606557377</v>
      </c>
    </row>
    <row r="958" spans="12:16" ht="15" hidden="1" customHeight="1">
      <c r="L958" s="43">
        <f t="shared" si="83"/>
        <v>45459</v>
      </c>
      <c r="M958" s="35">
        <f t="shared" si="84"/>
        <v>0</v>
      </c>
      <c r="N958" s="35">
        <f t="shared" si="85"/>
        <v>27500</v>
      </c>
      <c r="O958" s="35">
        <f t="shared" si="86"/>
        <v>1.1270491803278688</v>
      </c>
      <c r="P958" s="35">
        <f t="shared" si="87"/>
        <v>2.2540983606557377</v>
      </c>
    </row>
    <row r="959" spans="12:16" ht="15" hidden="1" customHeight="1">
      <c r="L959" s="43">
        <f t="shared" si="83"/>
        <v>45460</v>
      </c>
      <c r="M959" s="35">
        <f t="shared" si="84"/>
        <v>0</v>
      </c>
      <c r="N959" s="35">
        <f t="shared" si="85"/>
        <v>27500</v>
      </c>
      <c r="O959" s="35">
        <f t="shared" si="86"/>
        <v>1.1270491803278688</v>
      </c>
      <c r="P959" s="35">
        <f t="shared" si="87"/>
        <v>2.2540983606557377</v>
      </c>
    </row>
    <row r="960" spans="12:16" ht="15" hidden="1" customHeight="1">
      <c r="L960" s="43">
        <f t="shared" si="83"/>
        <v>45461</v>
      </c>
      <c r="M960" s="35">
        <f t="shared" si="84"/>
        <v>0</v>
      </c>
      <c r="N960" s="35">
        <f t="shared" si="85"/>
        <v>27500</v>
      </c>
      <c r="O960" s="35">
        <f t="shared" si="86"/>
        <v>1.1270491803278688</v>
      </c>
      <c r="P960" s="35">
        <f t="shared" si="87"/>
        <v>2.2540983606557377</v>
      </c>
    </row>
    <row r="961" spans="12:16" ht="15" hidden="1" customHeight="1">
      <c r="L961" s="43">
        <f t="shared" si="83"/>
        <v>45462</v>
      </c>
      <c r="M961" s="35">
        <f t="shared" si="84"/>
        <v>0</v>
      </c>
      <c r="N961" s="35">
        <f t="shared" si="85"/>
        <v>27500</v>
      </c>
      <c r="O961" s="35">
        <f t="shared" si="86"/>
        <v>1.1270491803278688</v>
      </c>
      <c r="P961" s="35">
        <f t="shared" si="87"/>
        <v>2.2540983606557377</v>
      </c>
    </row>
    <row r="962" spans="12:16" ht="15" hidden="1" customHeight="1">
      <c r="L962" s="43">
        <f t="shared" si="83"/>
        <v>45463</v>
      </c>
      <c r="M962" s="35">
        <f t="shared" si="84"/>
        <v>0</v>
      </c>
      <c r="N962" s="35">
        <f t="shared" si="85"/>
        <v>27500</v>
      </c>
      <c r="O962" s="35">
        <f t="shared" si="86"/>
        <v>1.1270491803278688</v>
      </c>
      <c r="P962" s="35">
        <f t="shared" si="87"/>
        <v>2.2540983606557377</v>
      </c>
    </row>
    <row r="963" spans="12:16" ht="15" hidden="1" customHeight="1">
      <c r="L963" s="43">
        <f t="shared" si="83"/>
        <v>45464</v>
      </c>
      <c r="M963" s="35">
        <f t="shared" si="84"/>
        <v>0</v>
      </c>
      <c r="N963" s="35">
        <f t="shared" si="85"/>
        <v>27500</v>
      </c>
      <c r="O963" s="35">
        <f t="shared" si="86"/>
        <v>1.1270491803278688</v>
      </c>
      <c r="P963" s="35">
        <f t="shared" si="87"/>
        <v>2.2540983606557377</v>
      </c>
    </row>
    <row r="964" spans="12:16" ht="15" hidden="1" customHeight="1">
      <c r="L964" s="43">
        <f t="shared" si="83"/>
        <v>45465</v>
      </c>
      <c r="M964" s="35">
        <f t="shared" si="84"/>
        <v>0</v>
      </c>
      <c r="N964" s="35">
        <f t="shared" si="85"/>
        <v>27500</v>
      </c>
      <c r="O964" s="35">
        <f t="shared" si="86"/>
        <v>1.1270491803278688</v>
      </c>
      <c r="P964" s="35">
        <f t="shared" si="87"/>
        <v>2.2540983606557377</v>
      </c>
    </row>
    <row r="965" spans="12:16" ht="15" hidden="1" customHeight="1">
      <c r="L965" s="43">
        <f t="shared" si="83"/>
        <v>45466</v>
      </c>
      <c r="M965" s="35">
        <f t="shared" si="84"/>
        <v>0</v>
      </c>
      <c r="N965" s="35">
        <f t="shared" si="85"/>
        <v>27500</v>
      </c>
      <c r="O965" s="35">
        <f t="shared" si="86"/>
        <v>1.1270491803278688</v>
      </c>
      <c r="P965" s="35">
        <f t="shared" si="87"/>
        <v>2.2540983606557377</v>
      </c>
    </row>
    <row r="966" spans="12:16" ht="15" hidden="1" customHeight="1">
      <c r="L966" s="43">
        <f t="shared" si="83"/>
        <v>45467</v>
      </c>
      <c r="M966" s="35">
        <f t="shared" si="84"/>
        <v>0</v>
      </c>
      <c r="N966" s="35">
        <f t="shared" si="85"/>
        <v>27500</v>
      </c>
      <c r="O966" s="35">
        <f t="shared" si="86"/>
        <v>1.1270491803278688</v>
      </c>
      <c r="P966" s="35">
        <f t="shared" si="87"/>
        <v>2.2540983606557377</v>
      </c>
    </row>
    <row r="967" spans="12:16" ht="15" hidden="1" customHeight="1">
      <c r="L967" s="43">
        <f t="shared" si="83"/>
        <v>45468</v>
      </c>
      <c r="M967" s="35">
        <f t="shared" si="84"/>
        <v>0</v>
      </c>
      <c r="N967" s="35">
        <f t="shared" si="85"/>
        <v>27500</v>
      </c>
      <c r="O967" s="35">
        <f t="shared" si="86"/>
        <v>1.1270491803278688</v>
      </c>
      <c r="P967" s="35">
        <f t="shared" si="87"/>
        <v>2.2540983606557377</v>
      </c>
    </row>
    <row r="968" spans="12:16" ht="15" hidden="1" customHeight="1">
      <c r="L968" s="43">
        <f t="shared" si="83"/>
        <v>45469</v>
      </c>
      <c r="M968" s="35">
        <f t="shared" si="84"/>
        <v>0</v>
      </c>
      <c r="N968" s="35">
        <f t="shared" si="85"/>
        <v>27500</v>
      </c>
      <c r="O968" s="35">
        <f t="shared" si="86"/>
        <v>1.1270491803278688</v>
      </c>
      <c r="P968" s="35">
        <f t="shared" si="87"/>
        <v>2.2540983606557377</v>
      </c>
    </row>
    <row r="969" spans="12:16" ht="15" hidden="1" customHeight="1">
      <c r="L969" s="43">
        <f t="shared" si="83"/>
        <v>45470</v>
      </c>
      <c r="M969" s="35">
        <f t="shared" si="84"/>
        <v>0</v>
      </c>
      <c r="N969" s="35">
        <f t="shared" si="85"/>
        <v>27500</v>
      </c>
      <c r="O969" s="35">
        <f t="shared" si="86"/>
        <v>1.1270491803278688</v>
      </c>
      <c r="P969" s="35">
        <f t="shared" si="87"/>
        <v>2.2540983606557377</v>
      </c>
    </row>
    <row r="970" spans="12:16" ht="15" hidden="1" customHeight="1">
      <c r="L970" s="43">
        <f t="shared" si="83"/>
        <v>45471</v>
      </c>
      <c r="M970" s="35">
        <f t="shared" si="84"/>
        <v>0</v>
      </c>
      <c r="N970" s="35">
        <f t="shared" si="85"/>
        <v>27500</v>
      </c>
      <c r="O970" s="35">
        <f t="shared" si="86"/>
        <v>1.1270491803278688</v>
      </c>
      <c r="P970" s="35">
        <f t="shared" si="87"/>
        <v>2.2540983606557377</v>
      </c>
    </row>
    <row r="971" spans="12:16" ht="15" hidden="1" customHeight="1">
      <c r="L971" s="43">
        <f t="shared" si="83"/>
        <v>45472</v>
      </c>
      <c r="M971" s="35">
        <f t="shared" si="84"/>
        <v>0</v>
      </c>
      <c r="N971" s="35">
        <f t="shared" si="85"/>
        <v>27500</v>
      </c>
      <c r="O971" s="35">
        <f t="shared" si="86"/>
        <v>1.1270491803278688</v>
      </c>
      <c r="P971" s="35">
        <f t="shared" si="87"/>
        <v>2.2540983606557377</v>
      </c>
    </row>
    <row r="972" spans="12:16" ht="15" hidden="1" customHeight="1">
      <c r="L972" s="43">
        <f t="shared" si="83"/>
        <v>45473</v>
      </c>
      <c r="M972" s="35">
        <f t="shared" si="84"/>
        <v>2500</v>
      </c>
      <c r="N972" s="35">
        <f t="shared" si="85"/>
        <v>25000</v>
      </c>
      <c r="O972" s="35">
        <f t="shared" si="86"/>
        <v>1.1270491803278688</v>
      </c>
      <c r="P972" s="35">
        <f t="shared" si="87"/>
        <v>2.2540983606557377</v>
      </c>
    </row>
    <row r="973" spans="12:16" ht="15" hidden="1" customHeight="1">
      <c r="L973" s="43">
        <f t="shared" si="83"/>
        <v>45474</v>
      </c>
      <c r="M973" s="35">
        <f t="shared" si="84"/>
        <v>0</v>
      </c>
      <c r="N973" s="35">
        <f t="shared" si="85"/>
        <v>25000</v>
      </c>
      <c r="O973" s="35">
        <f t="shared" si="86"/>
        <v>1.0245901639344261</v>
      </c>
      <c r="P973" s="35">
        <f t="shared" si="87"/>
        <v>2.0491803278688523</v>
      </c>
    </row>
    <row r="974" spans="12:16" ht="15" hidden="1" customHeight="1">
      <c r="L974" s="43">
        <f t="shared" si="83"/>
        <v>45475</v>
      </c>
      <c r="M974" s="35">
        <f t="shared" si="84"/>
        <v>0</v>
      </c>
      <c r="N974" s="35">
        <f t="shared" si="85"/>
        <v>25000</v>
      </c>
      <c r="O974" s="35">
        <f t="shared" si="86"/>
        <v>1.0245901639344261</v>
      </c>
      <c r="P974" s="35">
        <f t="shared" si="87"/>
        <v>2.0491803278688523</v>
      </c>
    </row>
    <row r="975" spans="12:16" ht="15" hidden="1" customHeight="1">
      <c r="L975" s="43">
        <f t="shared" si="83"/>
        <v>45476</v>
      </c>
      <c r="M975" s="35">
        <f t="shared" si="84"/>
        <v>0</v>
      </c>
      <c r="N975" s="35">
        <f t="shared" si="85"/>
        <v>25000</v>
      </c>
      <c r="O975" s="35">
        <f t="shared" si="86"/>
        <v>1.0245901639344261</v>
      </c>
      <c r="P975" s="35">
        <f t="shared" si="87"/>
        <v>2.0491803278688523</v>
      </c>
    </row>
    <row r="976" spans="12:16" ht="15" hidden="1" customHeight="1">
      <c r="L976" s="43">
        <f t="shared" si="83"/>
        <v>45477</v>
      </c>
      <c r="M976" s="35">
        <f t="shared" si="84"/>
        <v>0</v>
      </c>
      <c r="N976" s="35">
        <f t="shared" si="85"/>
        <v>25000</v>
      </c>
      <c r="O976" s="35">
        <f t="shared" si="86"/>
        <v>1.0245901639344261</v>
      </c>
      <c r="P976" s="35">
        <f t="shared" si="87"/>
        <v>2.0491803278688523</v>
      </c>
    </row>
    <row r="977" spans="12:16" ht="15" hidden="1" customHeight="1">
      <c r="L977" s="43">
        <f t="shared" si="83"/>
        <v>45478</v>
      </c>
      <c r="M977" s="35">
        <f t="shared" si="84"/>
        <v>0</v>
      </c>
      <c r="N977" s="35">
        <f t="shared" si="85"/>
        <v>25000</v>
      </c>
      <c r="O977" s="35">
        <f t="shared" si="86"/>
        <v>1.0245901639344261</v>
      </c>
      <c r="P977" s="35">
        <f t="shared" si="87"/>
        <v>2.0491803278688523</v>
      </c>
    </row>
    <row r="978" spans="12:16" ht="15" hidden="1" customHeight="1">
      <c r="L978" s="43">
        <f t="shared" si="83"/>
        <v>45479</v>
      </c>
      <c r="M978" s="35">
        <f t="shared" si="84"/>
        <v>0</v>
      </c>
      <c r="N978" s="35">
        <f t="shared" si="85"/>
        <v>25000</v>
      </c>
      <c r="O978" s="35">
        <f t="shared" si="86"/>
        <v>1.0245901639344261</v>
      </c>
      <c r="P978" s="35">
        <f t="shared" si="87"/>
        <v>2.0491803278688523</v>
      </c>
    </row>
    <row r="979" spans="12:16" ht="15" hidden="1" customHeight="1">
      <c r="L979" s="43">
        <f t="shared" si="83"/>
        <v>45480</v>
      </c>
      <c r="M979" s="35">
        <f t="shared" si="84"/>
        <v>0</v>
      </c>
      <c r="N979" s="35">
        <f t="shared" si="85"/>
        <v>25000</v>
      </c>
      <c r="O979" s="35">
        <f t="shared" si="86"/>
        <v>1.0245901639344261</v>
      </c>
      <c r="P979" s="35">
        <f t="shared" si="87"/>
        <v>2.0491803278688523</v>
      </c>
    </row>
    <row r="980" spans="12:16" ht="15" hidden="1" customHeight="1">
      <c r="L980" s="43">
        <f t="shared" si="83"/>
        <v>45481</v>
      </c>
      <c r="M980" s="35">
        <f t="shared" si="84"/>
        <v>0</v>
      </c>
      <c r="N980" s="35">
        <f t="shared" si="85"/>
        <v>25000</v>
      </c>
      <c r="O980" s="35">
        <f t="shared" si="86"/>
        <v>1.0245901639344261</v>
      </c>
      <c r="P980" s="35">
        <f t="shared" si="87"/>
        <v>2.0491803278688523</v>
      </c>
    </row>
    <row r="981" spans="12:16" ht="15" hidden="1" customHeight="1">
      <c r="L981" s="43">
        <f t="shared" si="83"/>
        <v>45482</v>
      </c>
      <c r="M981" s="35">
        <f t="shared" si="84"/>
        <v>0</v>
      </c>
      <c r="N981" s="35">
        <f t="shared" si="85"/>
        <v>25000</v>
      </c>
      <c r="O981" s="35">
        <f t="shared" si="86"/>
        <v>1.0245901639344261</v>
      </c>
      <c r="P981" s="35">
        <f t="shared" si="87"/>
        <v>2.0491803278688523</v>
      </c>
    </row>
    <row r="982" spans="12:16" ht="15" hidden="1" customHeight="1">
      <c r="L982" s="43">
        <f t="shared" si="83"/>
        <v>45483</v>
      </c>
      <c r="M982" s="35">
        <f t="shared" si="84"/>
        <v>0</v>
      </c>
      <c r="N982" s="35">
        <f t="shared" si="85"/>
        <v>25000</v>
      </c>
      <c r="O982" s="35">
        <f t="shared" si="86"/>
        <v>1.0245901639344261</v>
      </c>
      <c r="P982" s="35">
        <f t="shared" si="87"/>
        <v>2.0491803278688523</v>
      </c>
    </row>
    <row r="983" spans="12:16" ht="15" hidden="1" customHeight="1">
      <c r="L983" s="43">
        <f t="shared" si="83"/>
        <v>45484</v>
      </c>
      <c r="M983" s="35">
        <f t="shared" si="84"/>
        <v>0</v>
      </c>
      <c r="N983" s="35">
        <f t="shared" si="85"/>
        <v>25000</v>
      </c>
      <c r="O983" s="35">
        <f t="shared" si="86"/>
        <v>1.0245901639344261</v>
      </c>
      <c r="P983" s="35">
        <f t="shared" si="87"/>
        <v>2.0491803278688523</v>
      </c>
    </row>
    <row r="984" spans="12:16" ht="15" hidden="1" customHeight="1">
      <c r="L984" s="43">
        <f t="shared" si="83"/>
        <v>45485</v>
      </c>
      <c r="M984" s="35">
        <f t="shared" si="84"/>
        <v>0</v>
      </c>
      <c r="N984" s="35">
        <f t="shared" si="85"/>
        <v>25000</v>
      </c>
      <c r="O984" s="35">
        <f t="shared" si="86"/>
        <v>1.0245901639344261</v>
      </c>
      <c r="P984" s="35">
        <f t="shared" si="87"/>
        <v>2.0491803278688523</v>
      </c>
    </row>
    <row r="985" spans="12:16" ht="15" hidden="1" customHeight="1">
      <c r="L985" s="43">
        <f t="shared" si="83"/>
        <v>45486</v>
      </c>
      <c r="M985" s="35">
        <f t="shared" si="84"/>
        <v>0</v>
      </c>
      <c r="N985" s="35">
        <f t="shared" si="85"/>
        <v>25000</v>
      </c>
      <c r="O985" s="35">
        <f t="shared" si="86"/>
        <v>1.0245901639344261</v>
      </c>
      <c r="P985" s="35">
        <f t="shared" si="87"/>
        <v>2.0491803278688523</v>
      </c>
    </row>
    <row r="986" spans="12:16" ht="15" hidden="1" customHeight="1">
      <c r="L986" s="43">
        <f t="shared" si="83"/>
        <v>45487</v>
      </c>
      <c r="M986" s="35">
        <f t="shared" si="84"/>
        <v>0</v>
      </c>
      <c r="N986" s="35">
        <f t="shared" si="85"/>
        <v>25000</v>
      </c>
      <c r="O986" s="35">
        <f t="shared" si="86"/>
        <v>1.0245901639344261</v>
      </c>
      <c r="P986" s="35">
        <f t="shared" si="87"/>
        <v>2.0491803278688523</v>
      </c>
    </row>
    <row r="987" spans="12:16" ht="15" hidden="1" customHeight="1">
      <c r="L987" s="43">
        <f t="shared" si="83"/>
        <v>45488</v>
      </c>
      <c r="M987" s="35">
        <f t="shared" si="84"/>
        <v>0</v>
      </c>
      <c r="N987" s="35">
        <f t="shared" si="85"/>
        <v>25000</v>
      </c>
      <c r="O987" s="35">
        <f t="shared" si="86"/>
        <v>1.0245901639344261</v>
      </c>
      <c r="P987" s="35">
        <f t="shared" si="87"/>
        <v>2.0491803278688523</v>
      </c>
    </row>
    <row r="988" spans="12:16" ht="15" hidden="1" customHeight="1">
      <c r="L988" s="43">
        <f t="shared" si="83"/>
        <v>45489</v>
      </c>
      <c r="M988" s="35">
        <f t="shared" si="84"/>
        <v>0</v>
      </c>
      <c r="N988" s="35">
        <f t="shared" si="85"/>
        <v>25000</v>
      </c>
      <c r="O988" s="35">
        <f t="shared" si="86"/>
        <v>1.0245901639344261</v>
      </c>
      <c r="P988" s="35">
        <f t="shared" si="87"/>
        <v>2.0491803278688523</v>
      </c>
    </row>
    <row r="989" spans="12:16" ht="15" hidden="1" customHeight="1">
      <c r="L989" s="43">
        <f t="shared" si="83"/>
        <v>45490</v>
      </c>
      <c r="M989" s="35">
        <f t="shared" si="84"/>
        <v>0</v>
      </c>
      <c r="N989" s="35">
        <f t="shared" si="85"/>
        <v>25000</v>
      </c>
      <c r="O989" s="35">
        <f t="shared" si="86"/>
        <v>1.0245901639344261</v>
      </c>
      <c r="P989" s="35">
        <f t="shared" si="87"/>
        <v>2.0491803278688523</v>
      </c>
    </row>
    <row r="990" spans="12:16" ht="15" hidden="1" customHeight="1">
      <c r="L990" s="43">
        <f t="shared" si="83"/>
        <v>45491</v>
      </c>
      <c r="M990" s="35">
        <f t="shared" si="84"/>
        <v>0</v>
      </c>
      <c r="N990" s="35">
        <f t="shared" si="85"/>
        <v>25000</v>
      </c>
      <c r="O990" s="35">
        <f t="shared" si="86"/>
        <v>1.0245901639344261</v>
      </c>
      <c r="P990" s="35">
        <f t="shared" si="87"/>
        <v>2.0491803278688523</v>
      </c>
    </row>
    <row r="991" spans="12:16" ht="15" hidden="1" customHeight="1">
      <c r="L991" s="43">
        <f t="shared" ref="L991:L1054" si="88">IFERROR(IF(MAX(L990+1,Дата_получения_Займа+1)&gt;Дата_погашения_Займа,"-",MAX(L990+1,Дата_получения_Займа+1)),"-")</f>
        <v>45492</v>
      </c>
      <c r="M991" s="35">
        <f t="shared" ref="M991:M1054" si="89">IFERROR(VLOOKUP(L991,$B$31:$E$59,4,FALSE),0)</f>
        <v>0</v>
      </c>
      <c r="N991" s="35">
        <f t="shared" ref="N991:N1054" si="90">IF(ISNUMBER(N990),N990-M991,$E$20)</f>
        <v>25000</v>
      </c>
      <c r="O991" s="35">
        <f t="shared" ref="O991:O1054" si="91">IFERROR(IF(ISNUMBER(N990),N990,$E$20)*IF(L991&gt;=$J$20,$E$25,$E$24)/IF(MOD(YEAR(L991),4),365,366)*IF(ISBLANK(L990),L991-$E$22,L991-L990),0)</f>
        <v>1.0245901639344261</v>
      </c>
      <c r="P991" s="35">
        <f t="shared" ref="P991:P1054" si="92">IFERROR(IF(ISNUMBER(N990),N990,$E$20)*3%/IF(MOD(YEAR(L991),4),365,366)*IF(ISBLANK(L990),(L991-$E$22),L991-L990),0)</f>
        <v>2.0491803278688523</v>
      </c>
    </row>
    <row r="992" spans="12:16" ht="15" hidden="1" customHeight="1">
      <c r="L992" s="43">
        <f t="shared" si="88"/>
        <v>45493</v>
      </c>
      <c r="M992" s="35">
        <f t="shared" si="89"/>
        <v>0</v>
      </c>
      <c r="N992" s="35">
        <f t="shared" si="90"/>
        <v>25000</v>
      </c>
      <c r="O992" s="35">
        <f t="shared" si="91"/>
        <v>1.0245901639344261</v>
      </c>
      <c r="P992" s="35">
        <f t="shared" si="92"/>
        <v>2.0491803278688523</v>
      </c>
    </row>
    <row r="993" spans="12:16" ht="15" hidden="1" customHeight="1">
      <c r="L993" s="43">
        <f t="shared" si="88"/>
        <v>45494</v>
      </c>
      <c r="M993" s="35">
        <f t="shared" si="89"/>
        <v>0</v>
      </c>
      <c r="N993" s="35">
        <f t="shared" si="90"/>
        <v>25000</v>
      </c>
      <c r="O993" s="35">
        <f t="shared" si="91"/>
        <v>1.0245901639344261</v>
      </c>
      <c r="P993" s="35">
        <f t="shared" si="92"/>
        <v>2.0491803278688523</v>
      </c>
    </row>
    <row r="994" spans="12:16" ht="15" hidden="1" customHeight="1">
      <c r="L994" s="43">
        <f t="shared" si="88"/>
        <v>45495</v>
      </c>
      <c r="M994" s="35">
        <f t="shared" si="89"/>
        <v>0</v>
      </c>
      <c r="N994" s="35">
        <f t="shared" si="90"/>
        <v>25000</v>
      </c>
      <c r="O994" s="35">
        <f t="shared" si="91"/>
        <v>1.0245901639344261</v>
      </c>
      <c r="P994" s="35">
        <f t="shared" si="92"/>
        <v>2.0491803278688523</v>
      </c>
    </row>
    <row r="995" spans="12:16" ht="15" hidden="1" customHeight="1">
      <c r="L995" s="43">
        <f t="shared" si="88"/>
        <v>45496</v>
      </c>
      <c r="M995" s="35">
        <f t="shared" si="89"/>
        <v>0</v>
      </c>
      <c r="N995" s="35">
        <f t="shared" si="90"/>
        <v>25000</v>
      </c>
      <c r="O995" s="35">
        <f t="shared" si="91"/>
        <v>1.0245901639344261</v>
      </c>
      <c r="P995" s="35">
        <f t="shared" si="92"/>
        <v>2.0491803278688523</v>
      </c>
    </row>
    <row r="996" spans="12:16" ht="15" hidden="1" customHeight="1">
      <c r="L996" s="43">
        <f t="shared" si="88"/>
        <v>45497</v>
      </c>
      <c r="M996" s="35">
        <f t="shared" si="89"/>
        <v>0</v>
      </c>
      <c r="N996" s="35">
        <f t="shared" si="90"/>
        <v>25000</v>
      </c>
      <c r="O996" s="35">
        <f t="shared" si="91"/>
        <v>1.0245901639344261</v>
      </c>
      <c r="P996" s="35">
        <f t="shared" si="92"/>
        <v>2.0491803278688523</v>
      </c>
    </row>
    <row r="997" spans="12:16" ht="15" hidden="1" customHeight="1">
      <c r="L997" s="43">
        <f t="shared" si="88"/>
        <v>45498</v>
      </c>
      <c r="M997" s="35">
        <f t="shared" si="89"/>
        <v>0</v>
      </c>
      <c r="N997" s="35">
        <f t="shared" si="90"/>
        <v>25000</v>
      </c>
      <c r="O997" s="35">
        <f t="shared" si="91"/>
        <v>1.0245901639344261</v>
      </c>
      <c r="P997" s="35">
        <f t="shared" si="92"/>
        <v>2.0491803278688523</v>
      </c>
    </row>
    <row r="998" spans="12:16" ht="15" hidden="1" customHeight="1">
      <c r="L998" s="43">
        <f t="shared" si="88"/>
        <v>45499</v>
      </c>
      <c r="M998" s="35">
        <f t="shared" si="89"/>
        <v>0</v>
      </c>
      <c r="N998" s="35">
        <f t="shared" si="90"/>
        <v>25000</v>
      </c>
      <c r="O998" s="35">
        <f t="shared" si="91"/>
        <v>1.0245901639344261</v>
      </c>
      <c r="P998" s="35">
        <f t="shared" si="92"/>
        <v>2.0491803278688523</v>
      </c>
    </row>
    <row r="999" spans="12:16" ht="15" hidden="1" customHeight="1">
      <c r="L999" s="43">
        <f t="shared" si="88"/>
        <v>45500</v>
      </c>
      <c r="M999" s="35">
        <f t="shared" si="89"/>
        <v>0</v>
      </c>
      <c r="N999" s="35">
        <f t="shared" si="90"/>
        <v>25000</v>
      </c>
      <c r="O999" s="35">
        <f t="shared" si="91"/>
        <v>1.0245901639344261</v>
      </c>
      <c r="P999" s="35">
        <f t="shared" si="92"/>
        <v>2.0491803278688523</v>
      </c>
    </row>
    <row r="1000" spans="12:16" ht="15" hidden="1" customHeight="1">
      <c r="L1000" s="43">
        <f t="shared" si="88"/>
        <v>45501</v>
      </c>
      <c r="M1000" s="35">
        <f t="shared" si="89"/>
        <v>0</v>
      </c>
      <c r="N1000" s="35">
        <f t="shared" si="90"/>
        <v>25000</v>
      </c>
      <c r="O1000" s="35">
        <f t="shared" si="91"/>
        <v>1.0245901639344261</v>
      </c>
      <c r="P1000" s="35">
        <f t="shared" si="92"/>
        <v>2.0491803278688523</v>
      </c>
    </row>
    <row r="1001" spans="12:16" ht="15" hidden="1" customHeight="1">
      <c r="L1001" s="43">
        <f t="shared" si="88"/>
        <v>45502</v>
      </c>
      <c r="M1001" s="35">
        <f t="shared" si="89"/>
        <v>0</v>
      </c>
      <c r="N1001" s="35">
        <f t="shared" si="90"/>
        <v>25000</v>
      </c>
      <c r="O1001" s="35">
        <f t="shared" si="91"/>
        <v>1.0245901639344261</v>
      </c>
      <c r="P1001" s="35">
        <f t="shared" si="92"/>
        <v>2.0491803278688523</v>
      </c>
    </row>
    <row r="1002" spans="12:16" ht="15" hidden="1" customHeight="1">
      <c r="L1002" s="43">
        <f t="shared" si="88"/>
        <v>45503</v>
      </c>
      <c r="M1002" s="35">
        <f t="shared" si="89"/>
        <v>0</v>
      </c>
      <c r="N1002" s="35">
        <f t="shared" si="90"/>
        <v>25000</v>
      </c>
      <c r="O1002" s="35">
        <f t="shared" si="91"/>
        <v>1.0245901639344261</v>
      </c>
      <c r="P1002" s="35">
        <f t="shared" si="92"/>
        <v>2.0491803278688523</v>
      </c>
    </row>
    <row r="1003" spans="12:16" ht="15" hidden="1" customHeight="1">
      <c r="L1003" s="43">
        <f t="shared" si="88"/>
        <v>45504</v>
      </c>
      <c r="M1003" s="35">
        <f t="shared" si="89"/>
        <v>0</v>
      </c>
      <c r="N1003" s="35">
        <f t="shared" si="90"/>
        <v>25000</v>
      </c>
      <c r="O1003" s="35">
        <f t="shared" si="91"/>
        <v>1.0245901639344261</v>
      </c>
      <c r="P1003" s="35">
        <f t="shared" si="92"/>
        <v>2.0491803278688523</v>
      </c>
    </row>
    <row r="1004" spans="12:16" ht="15" hidden="1" customHeight="1">
      <c r="L1004" s="43">
        <f t="shared" si="88"/>
        <v>45505</v>
      </c>
      <c r="M1004" s="35">
        <f t="shared" si="89"/>
        <v>0</v>
      </c>
      <c r="N1004" s="35">
        <f t="shared" si="90"/>
        <v>25000</v>
      </c>
      <c r="O1004" s="35">
        <f t="shared" si="91"/>
        <v>1.0245901639344261</v>
      </c>
      <c r="P1004" s="35">
        <f t="shared" si="92"/>
        <v>2.0491803278688523</v>
      </c>
    </row>
    <row r="1005" spans="12:16" ht="15" hidden="1" customHeight="1">
      <c r="L1005" s="43">
        <f t="shared" si="88"/>
        <v>45506</v>
      </c>
      <c r="M1005" s="35">
        <f t="shared" si="89"/>
        <v>0</v>
      </c>
      <c r="N1005" s="35">
        <f t="shared" si="90"/>
        <v>25000</v>
      </c>
      <c r="O1005" s="35">
        <f t="shared" si="91"/>
        <v>1.0245901639344261</v>
      </c>
      <c r="P1005" s="35">
        <f t="shared" si="92"/>
        <v>2.0491803278688523</v>
      </c>
    </row>
    <row r="1006" spans="12:16" ht="15" hidden="1" customHeight="1">
      <c r="L1006" s="43">
        <f t="shared" si="88"/>
        <v>45507</v>
      </c>
      <c r="M1006" s="35">
        <f t="shared" si="89"/>
        <v>0</v>
      </c>
      <c r="N1006" s="35">
        <f t="shared" si="90"/>
        <v>25000</v>
      </c>
      <c r="O1006" s="35">
        <f t="shared" si="91"/>
        <v>1.0245901639344261</v>
      </c>
      <c r="P1006" s="35">
        <f t="shared" si="92"/>
        <v>2.0491803278688523</v>
      </c>
    </row>
    <row r="1007" spans="12:16" ht="15" hidden="1" customHeight="1">
      <c r="L1007" s="43">
        <f t="shared" si="88"/>
        <v>45508</v>
      </c>
      <c r="M1007" s="35">
        <f t="shared" si="89"/>
        <v>0</v>
      </c>
      <c r="N1007" s="35">
        <f t="shared" si="90"/>
        <v>25000</v>
      </c>
      <c r="O1007" s="35">
        <f t="shared" si="91"/>
        <v>1.0245901639344261</v>
      </c>
      <c r="P1007" s="35">
        <f t="shared" si="92"/>
        <v>2.0491803278688523</v>
      </c>
    </row>
    <row r="1008" spans="12:16" ht="15" hidden="1" customHeight="1">
      <c r="L1008" s="43">
        <f t="shared" si="88"/>
        <v>45509</v>
      </c>
      <c r="M1008" s="35">
        <f t="shared" si="89"/>
        <v>0</v>
      </c>
      <c r="N1008" s="35">
        <f t="shared" si="90"/>
        <v>25000</v>
      </c>
      <c r="O1008" s="35">
        <f t="shared" si="91"/>
        <v>1.0245901639344261</v>
      </c>
      <c r="P1008" s="35">
        <f t="shared" si="92"/>
        <v>2.0491803278688523</v>
      </c>
    </row>
    <row r="1009" spans="12:16" ht="15" hidden="1" customHeight="1">
      <c r="L1009" s="43">
        <f t="shared" si="88"/>
        <v>45510</v>
      </c>
      <c r="M1009" s="35">
        <f t="shared" si="89"/>
        <v>0</v>
      </c>
      <c r="N1009" s="35">
        <f t="shared" si="90"/>
        <v>25000</v>
      </c>
      <c r="O1009" s="35">
        <f t="shared" si="91"/>
        <v>1.0245901639344261</v>
      </c>
      <c r="P1009" s="35">
        <f t="shared" si="92"/>
        <v>2.0491803278688523</v>
      </c>
    </row>
    <row r="1010" spans="12:16" ht="15" hidden="1" customHeight="1">
      <c r="L1010" s="43">
        <f t="shared" si="88"/>
        <v>45511</v>
      </c>
      <c r="M1010" s="35">
        <f t="shared" si="89"/>
        <v>0</v>
      </c>
      <c r="N1010" s="35">
        <f t="shared" si="90"/>
        <v>25000</v>
      </c>
      <c r="O1010" s="35">
        <f t="shared" si="91"/>
        <v>1.0245901639344261</v>
      </c>
      <c r="P1010" s="35">
        <f t="shared" si="92"/>
        <v>2.0491803278688523</v>
      </c>
    </row>
    <row r="1011" spans="12:16" ht="15" hidden="1" customHeight="1">
      <c r="L1011" s="43">
        <f t="shared" si="88"/>
        <v>45512</v>
      </c>
      <c r="M1011" s="35">
        <f t="shared" si="89"/>
        <v>0</v>
      </c>
      <c r="N1011" s="35">
        <f t="shared" si="90"/>
        <v>25000</v>
      </c>
      <c r="O1011" s="35">
        <f t="shared" si="91"/>
        <v>1.0245901639344261</v>
      </c>
      <c r="P1011" s="35">
        <f t="shared" si="92"/>
        <v>2.0491803278688523</v>
      </c>
    </row>
    <row r="1012" spans="12:16" ht="15" hidden="1" customHeight="1">
      <c r="L1012" s="43">
        <f t="shared" si="88"/>
        <v>45513</v>
      </c>
      <c r="M1012" s="35">
        <f t="shared" si="89"/>
        <v>0</v>
      </c>
      <c r="N1012" s="35">
        <f t="shared" si="90"/>
        <v>25000</v>
      </c>
      <c r="O1012" s="35">
        <f t="shared" si="91"/>
        <v>1.0245901639344261</v>
      </c>
      <c r="P1012" s="35">
        <f t="shared" si="92"/>
        <v>2.0491803278688523</v>
      </c>
    </row>
    <row r="1013" spans="12:16" ht="15" hidden="1" customHeight="1">
      <c r="L1013" s="43">
        <f t="shared" si="88"/>
        <v>45514</v>
      </c>
      <c r="M1013" s="35">
        <f t="shared" si="89"/>
        <v>0</v>
      </c>
      <c r="N1013" s="35">
        <f t="shared" si="90"/>
        <v>25000</v>
      </c>
      <c r="O1013" s="35">
        <f t="shared" si="91"/>
        <v>1.0245901639344261</v>
      </c>
      <c r="P1013" s="35">
        <f t="shared" si="92"/>
        <v>2.0491803278688523</v>
      </c>
    </row>
    <row r="1014" spans="12:16" ht="15" hidden="1" customHeight="1">
      <c r="L1014" s="43">
        <f t="shared" si="88"/>
        <v>45515</v>
      </c>
      <c r="M1014" s="35">
        <f t="shared" si="89"/>
        <v>0</v>
      </c>
      <c r="N1014" s="35">
        <f t="shared" si="90"/>
        <v>25000</v>
      </c>
      <c r="O1014" s="35">
        <f t="shared" si="91"/>
        <v>1.0245901639344261</v>
      </c>
      <c r="P1014" s="35">
        <f t="shared" si="92"/>
        <v>2.0491803278688523</v>
      </c>
    </row>
    <row r="1015" spans="12:16" ht="15" hidden="1" customHeight="1">
      <c r="L1015" s="43">
        <f t="shared" si="88"/>
        <v>45516</v>
      </c>
      <c r="M1015" s="35">
        <f t="shared" si="89"/>
        <v>0</v>
      </c>
      <c r="N1015" s="35">
        <f t="shared" si="90"/>
        <v>25000</v>
      </c>
      <c r="O1015" s="35">
        <f t="shared" si="91"/>
        <v>1.0245901639344261</v>
      </c>
      <c r="P1015" s="35">
        <f t="shared" si="92"/>
        <v>2.0491803278688523</v>
      </c>
    </row>
    <row r="1016" spans="12:16" ht="15" hidden="1" customHeight="1">
      <c r="L1016" s="43">
        <f t="shared" si="88"/>
        <v>45517</v>
      </c>
      <c r="M1016" s="35">
        <f t="shared" si="89"/>
        <v>0</v>
      </c>
      <c r="N1016" s="35">
        <f t="shared" si="90"/>
        <v>25000</v>
      </c>
      <c r="O1016" s="35">
        <f t="shared" si="91"/>
        <v>1.0245901639344261</v>
      </c>
      <c r="P1016" s="35">
        <f t="shared" si="92"/>
        <v>2.0491803278688523</v>
      </c>
    </row>
    <row r="1017" spans="12:16" ht="15" hidden="1" customHeight="1">
      <c r="L1017" s="43">
        <f t="shared" si="88"/>
        <v>45518</v>
      </c>
      <c r="M1017" s="35">
        <f t="shared" si="89"/>
        <v>0</v>
      </c>
      <c r="N1017" s="35">
        <f t="shared" si="90"/>
        <v>25000</v>
      </c>
      <c r="O1017" s="35">
        <f t="shared" si="91"/>
        <v>1.0245901639344261</v>
      </c>
      <c r="P1017" s="35">
        <f t="shared" si="92"/>
        <v>2.0491803278688523</v>
      </c>
    </row>
    <row r="1018" spans="12:16" ht="15" hidden="1" customHeight="1">
      <c r="L1018" s="43">
        <f t="shared" si="88"/>
        <v>45519</v>
      </c>
      <c r="M1018" s="35">
        <f t="shared" si="89"/>
        <v>0</v>
      </c>
      <c r="N1018" s="35">
        <f t="shared" si="90"/>
        <v>25000</v>
      </c>
      <c r="O1018" s="35">
        <f t="shared" si="91"/>
        <v>1.0245901639344261</v>
      </c>
      <c r="P1018" s="35">
        <f t="shared" si="92"/>
        <v>2.0491803278688523</v>
      </c>
    </row>
    <row r="1019" spans="12:16" ht="15" hidden="1" customHeight="1">
      <c r="L1019" s="43">
        <f t="shared" si="88"/>
        <v>45520</v>
      </c>
      <c r="M1019" s="35">
        <f t="shared" si="89"/>
        <v>0</v>
      </c>
      <c r="N1019" s="35">
        <f t="shared" si="90"/>
        <v>25000</v>
      </c>
      <c r="O1019" s="35">
        <f t="shared" si="91"/>
        <v>1.0245901639344261</v>
      </c>
      <c r="P1019" s="35">
        <f t="shared" si="92"/>
        <v>2.0491803278688523</v>
      </c>
    </row>
    <row r="1020" spans="12:16" ht="15" hidden="1" customHeight="1">
      <c r="L1020" s="43">
        <f t="shared" si="88"/>
        <v>45521</v>
      </c>
      <c r="M1020" s="35">
        <f t="shared" si="89"/>
        <v>0</v>
      </c>
      <c r="N1020" s="35">
        <f t="shared" si="90"/>
        <v>25000</v>
      </c>
      <c r="O1020" s="35">
        <f t="shared" si="91"/>
        <v>1.0245901639344261</v>
      </c>
      <c r="P1020" s="35">
        <f t="shared" si="92"/>
        <v>2.0491803278688523</v>
      </c>
    </row>
    <row r="1021" spans="12:16" ht="15" hidden="1" customHeight="1">
      <c r="L1021" s="43">
        <f t="shared" si="88"/>
        <v>45522</v>
      </c>
      <c r="M1021" s="35">
        <f t="shared" si="89"/>
        <v>0</v>
      </c>
      <c r="N1021" s="35">
        <f t="shared" si="90"/>
        <v>25000</v>
      </c>
      <c r="O1021" s="35">
        <f t="shared" si="91"/>
        <v>1.0245901639344261</v>
      </c>
      <c r="P1021" s="35">
        <f t="shared" si="92"/>
        <v>2.0491803278688523</v>
      </c>
    </row>
    <row r="1022" spans="12:16" ht="15" hidden="1" customHeight="1">
      <c r="L1022" s="43">
        <f t="shared" si="88"/>
        <v>45523</v>
      </c>
      <c r="M1022" s="35">
        <f t="shared" si="89"/>
        <v>0</v>
      </c>
      <c r="N1022" s="35">
        <f t="shared" si="90"/>
        <v>25000</v>
      </c>
      <c r="O1022" s="35">
        <f t="shared" si="91"/>
        <v>1.0245901639344261</v>
      </c>
      <c r="P1022" s="35">
        <f t="shared" si="92"/>
        <v>2.0491803278688523</v>
      </c>
    </row>
    <row r="1023" spans="12:16" ht="15" hidden="1" customHeight="1">
      <c r="L1023" s="43">
        <f t="shared" si="88"/>
        <v>45524</v>
      </c>
      <c r="M1023" s="35">
        <f t="shared" si="89"/>
        <v>0</v>
      </c>
      <c r="N1023" s="35">
        <f t="shared" si="90"/>
        <v>25000</v>
      </c>
      <c r="O1023" s="35">
        <f t="shared" si="91"/>
        <v>1.0245901639344261</v>
      </c>
      <c r="P1023" s="35">
        <f t="shared" si="92"/>
        <v>2.0491803278688523</v>
      </c>
    </row>
    <row r="1024" spans="12:16" ht="15" hidden="1" customHeight="1">
      <c r="L1024" s="43">
        <f t="shared" si="88"/>
        <v>45525</v>
      </c>
      <c r="M1024" s="35">
        <f t="shared" si="89"/>
        <v>0</v>
      </c>
      <c r="N1024" s="35">
        <f t="shared" si="90"/>
        <v>25000</v>
      </c>
      <c r="O1024" s="35">
        <f t="shared" si="91"/>
        <v>1.0245901639344261</v>
      </c>
      <c r="P1024" s="35">
        <f t="shared" si="92"/>
        <v>2.0491803278688523</v>
      </c>
    </row>
    <row r="1025" spans="12:16" ht="15" hidden="1" customHeight="1">
      <c r="L1025" s="43">
        <f t="shared" si="88"/>
        <v>45526</v>
      </c>
      <c r="M1025" s="35">
        <f t="shared" si="89"/>
        <v>0</v>
      </c>
      <c r="N1025" s="35">
        <f t="shared" si="90"/>
        <v>25000</v>
      </c>
      <c r="O1025" s="35">
        <f t="shared" si="91"/>
        <v>1.0245901639344261</v>
      </c>
      <c r="P1025" s="35">
        <f t="shared" si="92"/>
        <v>2.0491803278688523</v>
      </c>
    </row>
    <row r="1026" spans="12:16" ht="15" hidden="1" customHeight="1">
      <c r="L1026" s="43">
        <f t="shared" si="88"/>
        <v>45527</v>
      </c>
      <c r="M1026" s="35">
        <f t="shared" si="89"/>
        <v>0</v>
      </c>
      <c r="N1026" s="35">
        <f t="shared" si="90"/>
        <v>25000</v>
      </c>
      <c r="O1026" s="35">
        <f t="shared" si="91"/>
        <v>1.0245901639344261</v>
      </c>
      <c r="P1026" s="35">
        <f t="shared" si="92"/>
        <v>2.0491803278688523</v>
      </c>
    </row>
    <row r="1027" spans="12:16" ht="15" hidden="1" customHeight="1">
      <c r="L1027" s="43">
        <f t="shared" si="88"/>
        <v>45528</v>
      </c>
      <c r="M1027" s="35">
        <f t="shared" si="89"/>
        <v>0</v>
      </c>
      <c r="N1027" s="35">
        <f t="shared" si="90"/>
        <v>25000</v>
      </c>
      <c r="O1027" s="35">
        <f t="shared" si="91"/>
        <v>1.0245901639344261</v>
      </c>
      <c r="P1027" s="35">
        <f t="shared" si="92"/>
        <v>2.0491803278688523</v>
      </c>
    </row>
    <row r="1028" spans="12:16" ht="15" hidden="1" customHeight="1">
      <c r="L1028" s="43">
        <f t="shared" si="88"/>
        <v>45529</v>
      </c>
      <c r="M1028" s="35">
        <f t="shared" si="89"/>
        <v>0</v>
      </c>
      <c r="N1028" s="35">
        <f t="shared" si="90"/>
        <v>25000</v>
      </c>
      <c r="O1028" s="35">
        <f t="shared" si="91"/>
        <v>1.0245901639344261</v>
      </c>
      <c r="P1028" s="35">
        <f t="shared" si="92"/>
        <v>2.0491803278688523</v>
      </c>
    </row>
    <row r="1029" spans="12:16" ht="15" hidden="1" customHeight="1">
      <c r="L1029" s="43">
        <f t="shared" si="88"/>
        <v>45530</v>
      </c>
      <c r="M1029" s="35">
        <f t="shared" si="89"/>
        <v>0</v>
      </c>
      <c r="N1029" s="35">
        <f t="shared" si="90"/>
        <v>25000</v>
      </c>
      <c r="O1029" s="35">
        <f t="shared" si="91"/>
        <v>1.0245901639344261</v>
      </c>
      <c r="P1029" s="35">
        <f t="shared" si="92"/>
        <v>2.0491803278688523</v>
      </c>
    </row>
    <row r="1030" spans="12:16" ht="15" hidden="1" customHeight="1">
      <c r="L1030" s="43">
        <f t="shared" si="88"/>
        <v>45531</v>
      </c>
      <c r="M1030" s="35">
        <f t="shared" si="89"/>
        <v>0</v>
      </c>
      <c r="N1030" s="35">
        <f t="shared" si="90"/>
        <v>25000</v>
      </c>
      <c r="O1030" s="35">
        <f t="shared" si="91"/>
        <v>1.0245901639344261</v>
      </c>
      <c r="P1030" s="35">
        <f t="shared" si="92"/>
        <v>2.0491803278688523</v>
      </c>
    </row>
    <row r="1031" spans="12:16" ht="15" hidden="1" customHeight="1">
      <c r="L1031" s="43">
        <f t="shared" si="88"/>
        <v>45532</v>
      </c>
      <c r="M1031" s="35">
        <f t="shared" si="89"/>
        <v>0</v>
      </c>
      <c r="N1031" s="35">
        <f t="shared" si="90"/>
        <v>25000</v>
      </c>
      <c r="O1031" s="35">
        <f t="shared" si="91"/>
        <v>1.0245901639344261</v>
      </c>
      <c r="P1031" s="35">
        <f t="shared" si="92"/>
        <v>2.0491803278688523</v>
      </c>
    </row>
    <row r="1032" spans="12:16" ht="15" hidden="1" customHeight="1">
      <c r="L1032" s="43">
        <f t="shared" si="88"/>
        <v>45533</v>
      </c>
      <c r="M1032" s="35">
        <f t="shared" si="89"/>
        <v>0</v>
      </c>
      <c r="N1032" s="35">
        <f t="shared" si="90"/>
        <v>25000</v>
      </c>
      <c r="O1032" s="35">
        <f t="shared" si="91"/>
        <v>1.0245901639344261</v>
      </c>
      <c r="P1032" s="35">
        <f t="shared" si="92"/>
        <v>2.0491803278688523</v>
      </c>
    </row>
    <row r="1033" spans="12:16" ht="15" hidden="1" customHeight="1">
      <c r="L1033" s="43">
        <f t="shared" si="88"/>
        <v>45534</v>
      </c>
      <c r="M1033" s="35">
        <f t="shared" si="89"/>
        <v>0</v>
      </c>
      <c r="N1033" s="35">
        <f t="shared" si="90"/>
        <v>25000</v>
      </c>
      <c r="O1033" s="35">
        <f t="shared" si="91"/>
        <v>1.0245901639344261</v>
      </c>
      <c r="P1033" s="35">
        <f t="shared" si="92"/>
        <v>2.0491803278688523</v>
      </c>
    </row>
    <row r="1034" spans="12:16" ht="15" hidden="1" customHeight="1">
      <c r="L1034" s="43">
        <f t="shared" si="88"/>
        <v>45535</v>
      </c>
      <c r="M1034" s="35">
        <f t="shared" si="89"/>
        <v>0</v>
      </c>
      <c r="N1034" s="35">
        <f t="shared" si="90"/>
        <v>25000</v>
      </c>
      <c r="O1034" s="35">
        <f t="shared" si="91"/>
        <v>1.0245901639344261</v>
      </c>
      <c r="P1034" s="35">
        <f t="shared" si="92"/>
        <v>2.0491803278688523</v>
      </c>
    </row>
    <row r="1035" spans="12:16" ht="15" hidden="1" customHeight="1">
      <c r="L1035" s="43">
        <f t="shared" si="88"/>
        <v>45536</v>
      </c>
      <c r="M1035" s="35">
        <f t="shared" si="89"/>
        <v>0</v>
      </c>
      <c r="N1035" s="35">
        <f t="shared" si="90"/>
        <v>25000</v>
      </c>
      <c r="O1035" s="35">
        <f t="shared" si="91"/>
        <v>1.0245901639344261</v>
      </c>
      <c r="P1035" s="35">
        <f t="shared" si="92"/>
        <v>2.0491803278688523</v>
      </c>
    </row>
    <row r="1036" spans="12:16" ht="15" hidden="1" customHeight="1">
      <c r="L1036" s="43">
        <f t="shared" si="88"/>
        <v>45537</v>
      </c>
      <c r="M1036" s="35">
        <f t="shared" si="89"/>
        <v>0</v>
      </c>
      <c r="N1036" s="35">
        <f t="shared" si="90"/>
        <v>25000</v>
      </c>
      <c r="O1036" s="35">
        <f t="shared" si="91"/>
        <v>1.0245901639344261</v>
      </c>
      <c r="P1036" s="35">
        <f t="shared" si="92"/>
        <v>2.0491803278688523</v>
      </c>
    </row>
    <row r="1037" spans="12:16" ht="15" hidden="1" customHeight="1">
      <c r="L1037" s="43">
        <f t="shared" si="88"/>
        <v>45538</v>
      </c>
      <c r="M1037" s="35">
        <f t="shared" si="89"/>
        <v>0</v>
      </c>
      <c r="N1037" s="35">
        <f t="shared" si="90"/>
        <v>25000</v>
      </c>
      <c r="O1037" s="35">
        <f t="shared" si="91"/>
        <v>1.0245901639344261</v>
      </c>
      <c r="P1037" s="35">
        <f t="shared" si="92"/>
        <v>2.0491803278688523</v>
      </c>
    </row>
    <row r="1038" spans="12:16" ht="15" hidden="1" customHeight="1">
      <c r="L1038" s="43">
        <f t="shared" si="88"/>
        <v>45539</v>
      </c>
      <c r="M1038" s="35">
        <f t="shared" si="89"/>
        <v>0</v>
      </c>
      <c r="N1038" s="35">
        <f t="shared" si="90"/>
        <v>25000</v>
      </c>
      <c r="O1038" s="35">
        <f t="shared" si="91"/>
        <v>1.0245901639344261</v>
      </c>
      <c r="P1038" s="35">
        <f t="shared" si="92"/>
        <v>2.0491803278688523</v>
      </c>
    </row>
    <row r="1039" spans="12:16" ht="15" hidden="1" customHeight="1">
      <c r="L1039" s="43">
        <f t="shared" si="88"/>
        <v>45540</v>
      </c>
      <c r="M1039" s="35">
        <f t="shared" si="89"/>
        <v>0</v>
      </c>
      <c r="N1039" s="35">
        <f t="shared" si="90"/>
        <v>25000</v>
      </c>
      <c r="O1039" s="35">
        <f t="shared" si="91"/>
        <v>1.0245901639344261</v>
      </c>
      <c r="P1039" s="35">
        <f t="shared" si="92"/>
        <v>2.0491803278688523</v>
      </c>
    </row>
    <row r="1040" spans="12:16" ht="15" hidden="1" customHeight="1">
      <c r="L1040" s="43">
        <f t="shared" si="88"/>
        <v>45541</v>
      </c>
      <c r="M1040" s="35">
        <f t="shared" si="89"/>
        <v>0</v>
      </c>
      <c r="N1040" s="35">
        <f t="shared" si="90"/>
        <v>25000</v>
      </c>
      <c r="O1040" s="35">
        <f t="shared" si="91"/>
        <v>1.0245901639344261</v>
      </c>
      <c r="P1040" s="35">
        <f t="shared" si="92"/>
        <v>2.0491803278688523</v>
      </c>
    </row>
    <row r="1041" spans="12:16" ht="15" hidden="1" customHeight="1">
      <c r="L1041" s="43">
        <f t="shared" si="88"/>
        <v>45542</v>
      </c>
      <c r="M1041" s="35">
        <f t="shared" si="89"/>
        <v>0</v>
      </c>
      <c r="N1041" s="35">
        <f t="shared" si="90"/>
        <v>25000</v>
      </c>
      <c r="O1041" s="35">
        <f t="shared" si="91"/>
        <v>1.0245901639344261</v>
      </c>
      <c r="P1041" s="35">
        <f t="shared" si="92"/>
        <v>2.0491803278688523</v>
      </c>
    </row>
    <row r="1042" spans="12:16" ht="15" hidden="1" customHeight="1">
      <c r="L1042" s="43">
        <f t="shared" si="88"/>
        <v>45543</v>
      </c>
      <c r="M1042" s="35">
        <f t="shared" si="89"/>
        <v>0</v>
      </c>
      <c r="N1042" s="35">
        <f t="shared" si="90"/>
        <v>25000</v>
      </c>
      <c r="O1042" s="35">
        <f t="shared" si="91"/>
        <v>1.0245901639344261</v>
      </c>
      <c r="P1042" s="35">
        <f t="shared" si="92"/>
        <v>2.0491803278688523</v>
      </c>
    </row>
    <row r="1043" spans="12:16" ht="15" hidden="1" customHeight="1">
      <c r="L1043" s="43">
        <f t="shared" si="88"/>
        <v>45544</v>
      </c>
      <c r="M1043" s="35">
        <f t="shared" si="89"/>
        <v>0</v>
      </c>
      <c r="N1043" s="35">
        <f t="shared" si="90"/>
        <v>25000</v>
      </c>
      <c r="O1043" s="35">
        <f t="shared" si="91"/>
        <v>1.0245901639344261</v>
      </c>
      <c r="P1043" s="35">
        <f t="shared" si="92"/>
        <v>2.0491803278688523</v>
      </c>
    </row>
    <row r="1044" spans="12:16" ht="15" hidden="1" customHeight="1">
      <c r="L1044" s="43">
        <f t="shared" si="88"/>
        <v>45545</v>
      </c>
      <c r="M1044" s="35">
        <f t="shared" si="89"/>
        <v>0</v>
      </c>
      <c r="N1044" s="35">
        <f t="shared" si="90"/>
        <v>25000</v>
      </c>
      <c r="O1044" s="35">
        <f t="shared" si="91"/>
        <v>1.0245901639344261</v>
      </c>
      <c r="P1044" s="35">
        <f t="shared" si="92"/>
        <v>2.0491803278688523</v>
      </c>
    </row>
    <row r="1045" spans="12:16" ht="15" hidden="1" customHeight="1">
      <c r="L1045" s="43">
        <f t="shared" si="88"/>
        <v>45546</v>
      </c>
      <c r="M1045" s="35">
        <f t="shared" si="89"/>
        <v>0</v>
      </c>
      <c r="N1045" s="35">
        <f t="shared" si="90"/>
        <v>25000</v>
      </c>
      <c r="O1045" s="35">
        <f t="shared" si="91"/>
        <v>1.0245901639344261</v>
      </c>
      <c r="P1045" s="35">
        <f t="shared" si="92"/>
        <v>2.0491803278688523</v>
      </c>
    </row>
    <row r="1046" spans="12:16" ht="15" hidden="1" customHeight="1">
      <c r="L1046" s="43">
        <f t="shared" si="88"/>
        <v>45547</v>
      </c>
      <c r="M1046" s="35">
        <f t="shared" si="89"/>
        <v>0</v>
      </c>
      <c r="N1046" s="35">
        <f t="shared" si="90"/>
        <v>25000</v>
      </c>
      <c r="O1046" s="35">
        <f t="shared" si="91"/>
        <v>1.0245901639344261</v>
      </c>
      <c r="P1046" s="35">
        <f t="shared" si="92"/>
        <v>2.0491803278688523</v>
      </c>
    </row>
    <row r="1047" spans="12:16" ht="15" hidden="1" customHeight="1">
      <c r="L1047" s="43">
        <f t="shared" si="88"/>
        <v>45548</v>
      </c>
      <c r="M1047" s="35">
        <f t="shared" si="89"/>
        <v>0</v>
      </c>
      <c r="N1047" s="35">
        <f t="shared" si="90"/>
        <v>25000</v>
      </c>
      <c r="O1047" s="35">
        <f t="shared" si="91"/>
        <v>1.0245901639344261</v>
      </c>
      <c r="P1047" s="35">
        <f t="shared" si="92"/>
        <v>2.0491803278688523</v>
      </c>
    </row>
    <row r="1048" spans="12:16" ht="15" hidden="1" customHeight="1">
      <c r="L1048" s="43">
        <f t="shared" si="88"/>
        <v>45549</v>
      </c>
      <c r="M1048" s="35">
        <f t="shared" si="89"/>
        <v>0</v>
      </c>
      <c r="N1048" s="35">
        <f t="shared" si="90"/>
        <v>25000</v>
      </c>
      <c r="O1048" s="35">
        <f t="shared" si="91"/>
        <v>1.0245901639344261</v>
      </c>
      <c r="P1048" s="35">
        <f t="shared" si="92"/>
        <v>2.0491803278688523</v>
      </c>
    </row>
    <row r="1049" spans="12:16" ht="15" hidden="1" customHeight="1">
      <c r="L1049" s="43">
        <f t="shared" si="88"/>
        <v>45550</v>
      </c>
      <c r="M1049" s="35">
        <f t="shared" si="89"/>
        <v>0</v>
      </c>
      <c r="N1049" s="35">
        <f t="shared" si="90"/>
        <v>25000</v>
      </c>
      <c r="O1049" s="35">
        <f t="shared" si="91"/>
        <v>1.0245901639344261</v>
      </c>
      <c r="P1049" s="35">
        <f t="shared" si="92"/>
        <v>2.0491803278688523</v>
      </c>
    </row>
    <row r="1050" spans="12:16" ht="15" hidden="1" customHeight="1">
      <c r="L1050" s="43">
        <f t="shared" si="88"/>
        <v>45551</v>
      </c>
      <c r="M1050" s="35">
        <f t="shared" si="89"/>
        <v>0</v>
      </c>
      <c r="N1050" s="35">
        <f t="shared" si="90"/>
        <v>25000</v>
      </c>
      <c r="O1050" s="35">
        <f t="shared" si="91"/>
        <v>1.0245901639344261</v>
      </c>
      <c r="P1050" s="35">
        <f t="shared" si="92"/>
        <v>2.0491803278688523</v>
      </c>
    </row>
    <row r="1051" spans="12:16" ht="15" hidden="1" customHeight="1">
      <c r="L1051" s="43">
        <f t="shared" si="88"/>
        <v>45552</v>
      </c>
      <c r="M1051" s="35">
        <f t="shared" si="89"/>
        <v>0</v>
      </c>
      <c r="N1051" s="35">
        <f t="shared" si="90"/>
        <v>25000</v>
      </c>
      <c r="O1051" s="35">
        <f t="shared" si="91"/>
        <v>1.0245901639344261</v>
      </c>
      <c r="P1051" s="35">
        <f t="shared" si="92"/>
        <v>2.0491803278688523</v>
      </c>
    </row>
    <row r="1052" spans="12:16" ht="15" hidden="1" customHeight="1">
      <c r="L1052" s="43">
        <f t="shared" si="88"/>
        <v>45553</v>
      </c>
      <c r="M1052" s="35">
        <f t="shared" si="89"/>
        <v>0</v>
      </c>
      <c r="N1052" s="35">
        <f t="shared" si="90"/>
        <v>25000</v>
      </c>
      <c r="O1052" s="35">
        <f t="shared" si="91"/>
        <v>1.0245901639344261</v>
      </c>
      <c r="P1052" s="35">
        <f t="shared" si="92"/>
        <v>2.0491803278688523</v>
      </c>
    </row>
    <row r="1053" spans="12:16" ht="15" hidden="1" customHeight="1">
      <c r="L1053" s="43">
        <f t="shared" si="88"/>
        <v>45554</v>
      </c>
      <c r="M1053" s="35">
        <f t="shared" si="89"/>
        <v>0</v>
      </c>
      <c r="N1053" s="35">
        <f t="shared" si="90"/>
        <v>25000</v>
      </c>
      <c r="O1053" s="35">
        <f t="shared" si="91"/>
        <v>1.0245901639344261</v>
      </c>
      <c r="P1053" s="35">
        <f t="shared" si="92"/>
        <v>2.0491803278688523</v>
      </c>
    </row>
    <row r="1054" spans="12:16" ht="15" hidden="1" customHeight="1">
      <c r="L1054" s="43">
        <f t="shared" si="88"/>
        <v>45555</v>
      </c>
      <c r="M1054" s="35">
        <f t="shared" si="89"/>
        <v>0</v>
      </c>
      <c r="N1054" s="35">
        <f t="shared" si="90"/>
        <v>25000</v>
      </c>
      <c r="O1054" s="35">
        <f t="shared" si="91"/>
        <v>1.0245901639344261</v>
      </c>
      <c r="P1054" s="35">
        <f t="shared" si="92"/>
        <v>2.0491803278688523</v>
      </c>
    </row>
    <row r="1055" spans="12:16" ht="15" hidden="1" customHeight="1">
      <c r="L1055" s="43">
        <f t="shared" ref="L1055:L1118" si="93">IFERROR(IF(MAX(L1054+1,Дата_получения_Займа+1)&gt;Дата_погашения_Займа,"-",MAX(L1054+1,Дата_получения_Займа+1)),"-")</f>
        <v>45556</v>
      </c>
      <c r="M1055" s="35">
        <f t="shared" ref="M1055:M1118" si="94">IFERROR(VLOOKUP(L1055,$B$31:$E$59,4,FALSE),0)</f>
        <v>0</v>
      </c>
      <c r="N1055" s="35">
        <f t="shared" ref="N1055:N1118" si="95">IF(ISNUMBER(N1054),N1054-M1055,$E$20)</f>
        <v>25000</v>
      </c>
      <c r="O1055" s="35">
        <f t="shared" ref="O1055:O1118" si="96">IFERROR(IF(ISNUMBER(N1054),N1054,$E$20)*IF(L1055&gt;=$J$20,$E$25,$E$24)/IF(MOD(YEAR(L1055),4),365,366)*IF(ISBLANK(L1054),L1055-$E$22,L1055-L1054),0)</f>
        <v>1.0245901639344261</v>
      </c>
      <c r="P1055" s="35">
        <f t="shared" ref="P1055:P1118" si="97">IFERROR(IF(ISNUMBER(N1054),N1054,$E$20)*3%/IF(MOD(YEAR(L1055),4),365,366)*IF(ISBLANK(L1054),(L1055-$E$22),L1055-L1054),0)</f>
        <v>2.0491803278688523</v>
      </c>
    </row>
    <row r="1056" spans="12:16" ht="15" hidden="1" customHeight="1">
      <c r="L1056" s="43">
        <f t="shared" si="93"/>
        <v>45557</v>
      </c>
      <c r="M1056" s="35">
        <f t="shared" si="94"/>
        <v>0</v>
      </c>
      <c r="N1056" s="35">
        <f t="shared" si="95"/>
        <v>25000</v>
      </c>
      <c r="O1056" s="35">
        <f t="shared" si="96"/>
        <v>1.0245901639344261</v>
      </c>
      <c r="P1056" s="35">
        <f t="shared" si="97"/>
        <v>2.0491803278688523</v>
      </c>
    </row>
    <row r="1057" spans="12:16" ht="15" hidden="1" customHeight="1">
      <c r="L1057" s="43">
        <f t="shared" si="93"/>
        <v>45558</v>
      </c>
      <c r="M1057" s="35">
        <f t="shared" si="94"/>
        <v>0</v>
      </c>
      <c r="N1057" s="35">
        <f t="shared" si="95"/>
        <v>25000</v>
      </c>
      <c r="O1057" s="35">
        <f t="shared" si="96"/>
        <v>1.0245901639344261</v>
      </c>
      <c r="P1057" s="35">
        <f t="shared" si="97"/>
        <v>2.0491803278688523</v>
      </c>
    </row>
    <row r="1058" spans="12:16" ht="15" hidden="1" customHeight="1">
      <c r="L1058" s="43">
        <f t="shared" si="93"/>
        <v>45559</v>
      </c>
      <c r="M1058" s="35">
        <f t="shared" si="94"/>
        <v>0</v>
      </c>
      <c r="N1058" s="35">
        <f t="shared" si="95"/>
        <v>25000</v>
      </c>
      <c r="O1058" s="35">
        <f t="shared" si="96"/>
        <v>1.0245901639344261</v>
      </c>
      <c r="P1058" s="35">
        <f t="shared" si="97"/>
        <v>2.0491803278688523</v>
      </c>
    </row>
    <row r="1059" spans="12:16" ht="15" hidden="1" customHeight="1">
      <c r="L1059" s="43">
        <f t="shared" si="93"/>
        <v>45560</v>
      </c>
      <c r="M1059" s="35">
        <f t="shared" si="94"/>
        <v>0</v>
      </c>
      <c r="N1059" s="35">
        <f t="shared" si="95"/>
        <v>25000</v>
      </c>
      <c r="O1059" s="35">
        <f t="shared" si="96"/>
        <v>1.0245901639344261</v>
      </c>
      <c r="P1059" s="35">
        <f t="shared" si="97"/>
        <v>2.0491803278688523</v>
      </c>
    </row>
    <row r="1060" spans="12:16" ht="15" hidden="1" customHeight="1">
      <c r="L1060" s="43">
        <f t="shared" si="93"/>
        <v>45561</v>
      </c>
      <c r="M1060" s="35">
        <f t="shared" si="94"/>
        <v>0</v>
      </c>
      <c r="N1060" s="35">
        <f t="shared" si="95"/>
        <v>25000</v>
      </c>
      <c r="O1060" s="35">
        <f t="shared" si="96"/>
        <v>1.0245901639344261</v>
      </c>
      <c r="P1060" s="35">
        <f t="shared" si="97"/>
        <v>2.0491803278688523</v>
      </c>
    </row>
    <row r="1061" spans="12:16" ht="15" hidden="1" customHeight="1">
      <c r="L1061" s="43">
        <f t="shared" si="93"/>
        <v>45562</v>
      </c>
      <c r="M1061" s="35">
        <f t="shared" si="94"/>
        <v>0</v>
      </c>
      <c r="N1061" s="35">
        <f t="shared" si="95"/>
        <v>25000</v>
      </c>
      <c r="O1061" s="35">
        <f t="shared" si="96"/>
        <v>1.0245901639344261</v>
      </c>
      <c r="P1061" s="35">
        <f t="shared" si="97"/>
        <v>2.0491803278688523</v>
      </c>
    </row>
    <row r="1062" spans="12:16" ht="15" hidden="1" customHeight="1">
      <c r="L1062" s="43">
        <f t="shared" si="93"/>
        <v>45563</v>
      </c>
      <c r="M1062" s="35">
        <f t="shared" si="94"/>
        <v>0</v>
      </c>
      <c r="N1062" s="35">
        <f t="shared" si="95"/>
        <v>25000</v>
      </c>
      <c r="O1062" s="35">
        <f t="shared" si="96"/>
        <v>1.0245901639344261</v>
      </c>
      <c r="P1062" s="35">
        <f t="shared" si="97"/>
        <v>2.0491803278688523</v>
      </c>
    </row>
    <row r="1063" spans="12:16" ht="15" hidden="1" customHeight="1">
      <c r="L1063" s="43">
        <f t="shared" si="93"/>
        <v>45564</v>
      </c>
      <c r="M1063" s="35">
        <f t="shared" si="94"/>
        <v>0</v>
      </c>
      <c r="N1063" s="35">
        <f t="shared" si="95"/>
        <v>25000</v>
      </c>
      <c r="O1063" s="35">
        <f t="shared" si="96"/>
        <v>1.0245901639344261</v>
      </c>
      <c r="P1063" s="35">
        <f t="shared" si="97"/>
        <v>2.0491803278688523</v>
      </c>
    </row>
    <row r="1064" spans="12:16" ht="15" hidden="1" customHeight="1">
      <c r="L1064" s="43">
        <f t="shared" si="93"/>
        <v>45565</v>
      </c>
      <c r="M1064" s="35">
        <f t="shared" si="94"/>
        <v>2500</v>
      </c>
      <c r="N1064" s="35">
        <f t="shared" si="95"/>
        <v>22500</v>
      </c>
      <c r="O1064" s="35">
        <f t="shared" si="96"/>
        <v>1.0245901639344261</v>
      </c>
      <c r="P1064" s="35">
        <f t="shared" si="97"/>
        <v>2.0491803278688523</v>
      </c>
    </row>
    <row r="1065" spans="12:16" ht="15" hidden="1" customHeight="1">
      <c r="L1065" s="43">
        <f t="shared" si="93"/>
        <v>45566</v>
      </c>
      <c r="M1065" s="35">
        <f t="shared" si="94"/>
        <v>0</v>
      </c>
      <c r="N1065" s="35">
        <f t="shared" si="95"/>
        <v>22500</v>
      </c>
      <c r="O1065" s="35">
        <f t="shared" si="96"/>
        <v>0.92213114754098358</v>
      </c>
      <c r="P1065" s="35">
        <f t="shared" si="97"/>
        <v>1.8442622950819672</v>
      </c>
    </row>
    <row r="1066" spans="12:16" ht="15" hidden="1" customHeight="1">
      <c r="L1066" s="43">
        <f t="shared" si="93"/>
        <v>45567</v>
      </c>
      <c r="M1066" s="35">
        <f t="shared" si="94"/>
        <v>0</v>
      </c>
      <c r="N1066" s="35">
        <f t="shared" si="95"/>
        <v>22500</v>
      </c>
      <c r="O1066" s="35">
        <f t="shared" si="96"/>
        <v>0.92213114754098358</v>
      </c>
      <c r="P1066" s="35">
        <f t="shared" si="97"/>
        <v>1.8442622950819672</v>
      </c>
    </row>
    <row r="1067" spans="12:16" ht="15" hidden="1" customHeight="1">
      <c r="L1067" s="43">
        <f t="shared" si="93"/>
        <v>45568</v>
      </c>
      <c r="M1067" s="35">
        <f t="shared" si="94"/>
        <v>0</v>
      </c>
      <c r="N1067" s="35">
        <f t="shared" si="95"/>
        <v>22500</v>
      </c>
      <c r="O1067" s="35">
        <f t="shared" si="96"/>
        <v>0.92213114754098358</v>
      </c>
      <c r="P1067" s="35">
        <f t="shared" si="97"/>
        <v>1.8442622950819672</v>
      </c>
    </row>
    <row r="1068" spans="12:16" ht="15" hidden="1" customHeight="1">
      <c r="L1068" s="43">
        <f t="shared" si="93"/>
        <v>45569</v>
      </c>
      <c r="M1068" s="35">
        <f t="shared" si="94"/>
        <v>0</v>
      </c>
      <c r="N1068" s="35">
        <f t="shared" si="95"/>
        <v>22500</v>
      </c>
      <c r="O1068" s="35">
        <f t="shared" si="96"/>
        <v>0.92213114754098358</v>
      </c>
      <c r="P1068" s="35">
        <f t="shared" si="97"/>
        <v>1.8442622950819672</v>
      </c>
    </row>
    <row r="1069" spans="12:16" ht="15" hidden="1" customHeight="1">
      <c r="L1069" s="43">
        <f t="shared" si="93"/>
        <v>45570</v>
      </c>
      <c r="M1069" s="35">
        <f t="shared" si="94"/>
        <v>0</v>
      </c>
      <c r="N1069" s="35">
        <f t="shared" si="95"/>
        <v>22500</v>
      </c>
      <c r="O1069" s="35">
        <f t="shared" si="96"/>
        <v>0.92213114754098358</v>
      </c>
      <c r="P1069" s="35">
        <f t="shared" si="97"/>
        <v>1.8442622950819672</v>
      </c>
    </row>
    <row r="1070" spans="12:16" ht="15" hidden="1" customHeight="1">
      <c r="L1070" s="43">
        <f t="shared" si="93"/>
        <v>45571</v>
      </c>
      <c r="M1070" s="35">
        <f t="shared" si="94"/>
        <v>0</v>
      </c>
      <c r="N1070" s="35">
        <f t="shared" si="95"/>
        <v>22500</v>
      </c>
      <c r="O1070" s="35">
        <f t="shared" si="96"/>
        <v>0.92213114754098358</v>
      </c>
      <c r="P1070" s="35">
        <f t="shared" si="97"/>
        <v>1.8442622950819672</v>
      </c>
    </row>
    <row r="1071" spans="12:16" ht="15" hidden="1" customHeight="1">
      <c r="L1071" s="43">
        <f t="shared" si="93"/>
        <v>45572</v>
      </c>
      <c r="M1071" s="35">
        <f t="shared" si="94"/>
        <v>0</v>
      </c>
      <c r="N1071" s="35">
        <f t="shared" si="95"/>
        <v>22500</v>
      </c>
      <c r="O1071" s="35">
        <f t="shared" si="96"/>
        <v>0.92213114754098358</v>
      </c>
      <c r="P1071" s="35">
        <f t="shared" si="97"/>
        <v>1.8442622950819672</v>
      </c>
    </row>
    <row r="1072" spans="12:16" ht="15" hidden="1" customHeight="1">
      <c r="L1072" s="43">
        <f t="shared" si="93"/>
        <v>45573</v>
      </c>
      <c r="M1072" s="35">
        <f t="shared" si="94"/>
        <v>0</v>
      </c>
      <c r="N1072" s="35">
        <f t="shared" si="95"/>
        <v>22500</v>
      </c>
      <c r="O1072" s="35">
        <f t="shared" si="96"/>
        <v>0.92213114754098358</v>
      </c>
      <c r="P1072" s="35">
        <f t="shared" si="97"/>
        <v>1.8442622950819672</v>
      </c>
    </row>
    <row r="1073" spans="12:16" ht="15" hidden="1" customHeight="1">
      <c r="L1073" s="43">
        <f t="shared" si="93"/>
        <v>45574</v>
      </c>
      <c r="M1073" s="35">
        <f t="shared" si="94"/>
        <v>0</v>
      </c>
      <c r="N1073" s="35">
        <f t="shared" si="95"/>
        <v>22500</v>
      </c>
      <c r="O1073" s="35">
        <f t="shared" si="96"/>
        <v>0.92213114754098358</v>
      </c>
      <c r="P1073" s="35">
        <f t="shared" si="97"/>
        <v>1.8442622950819672</v>
      </c>
    </row>
    <row r="1074" spans="12:16" ht="15" hidden="1" customHeight="1">
      <c r="L1074" s="43">
        <f t="shared" si="93"/>
        <v>45575</v>
      </c>
      <c r="M1074" s="35">
        <f t="shared" si="94"/>
        <v>0</v>
      </c>
      <c r="N1074" s="35">
        <f t="shared" si="95"/>
        <v>22500</v>
      </c>
      <c r="O1074" s="35">
        <f t="shared" si="96"/>
        <v>0.92213114754098358</v>
      </c>
      <c r="P1074" s="35">
        <f t="shared" si="97"/>
        <v>1.8442622950819672</v>
      </c>
    </row>
    <row r="1075" spans="12:16" ht="15" hidden="1" customHeight="1">
      <c r="L1075" s="43">
        <f t="shared" si="93"/>
        <v>45576</v>
      </c>
      <c r="M1075" s="35">
        <f t="shared" si="94"/>
        <v>0</v>
      </c>
      <c r="N1075" s="35">
        <f t="shared" si="95"/>
        <v>22500</v>
      </c>
      <c r="O1075" s="35">
        <f t="shared" si="96"/>
        <v>0.92213114754098358</v>
      </c>
      <c r="P1075" s="35">
        <f t="shared" si="97"/>
        <v>1.8442622950819672</v>
      </c>
    </row>
    <row r="1076" spans="12:16" ht="15" hidden="1" customHeight="1">
      <c r="L1076" s="43">
        <f t="shared" si="93"/>
        <v>45577</v>
      </c>
      <c r="M1076" s="35">
        <f t="shared" si="94"/>
        <v>0</v>
      </c>
      <c r="N1076" s="35">
        <f t="shared" si="95"/>
        <v>22500</v>
      </c>
      <c r="O1076" s="35">
        <f t="shared" si="96"/>
        <v>0.92213114754098358</v>
      </c>
      <c r="P1076" s="35">
        <f t="shared" si="97"/>
        <v>1.8442622950819672</v>
      </c>
    </row>
    <row r="1077" spans="12:16" ht="15" hidden="1" customHeight="1">
      <c r="L1077" s="43">
        <f t="shared" si="93"/>
        <v>45578</v>
      </c>
      <c r="M1077" s="35">
        <f t="shared" si="94"/>
        <v>0</v>
      </c>
      <c r="N1077" s="35">
        <f t="shared" si="95"/>
        <v>22500</v>
      </c>
      <c r="O1077" s="35">
        <f t="shared" si="96"/>
        <v>0.92213114754098358</v>
      </c>
      <c r="P1077" s="35">
        <f t="shared" si="97"/>
        <v>1.8442622950819672</v>
      </c>
    </row>
    <row r="1078" spans="12:16" ht="15" hidden="1" customHeight="1">
      <c r="L1078" s="43">
        <f t="shared" si="93"/>
        <v>45579</v>
      </c>
      <c r="M1078" s="35">
        <f t="shared" si="94"/>
        <v>0</v>
      </c>
      <c r="N1078" s="35">
        <f t="shared" si="95"/>
        <v>22500</v>
      </c>
      <c r="O1078" s="35">
        <f t="shared" si="96"/>
        <v>0.92213114754098358</v>
      </c>
      <c r="P1078" s="35">
        <f t="shared" si="97"/>
        <v>1.8442622950819672</v>
      </c>
    </row>
    <row r="1079" spans="12:16" ht="15" hidden="1" customHeight="1">
      <c r="L1079" s="43">
        <f t="shared" si="93"/>
        <v>45580</v>
      </c>
      <c r="M1079" s="35">
        <f t="shared" si="94"/>
        <v>0</v>
      </c>
      <c r="N1079" s="35">
        <f t="shared" si="95"/>
        <v>22500</v>
      </c>
      <c r="O1079" s="35">
        <f t="shared" si="96"/>
        <v>0.92213114754098358</v>
      </c>
      <c r="P1079" s="35">
        <f t="shared" si="97"/>
        <v>1.8442622950819672</v>
      </c>
    </row>
    <row r="1080" spans="12:16" ht="15" hidden="1" customHeight="1">
      <c r="L1080" s="43">
        <f t="shared" si="93"/>
        <v>45581</v>
      </c>
      <c r="M1080" s="35">
        <f t="shared" si="94"/>
        <v>0</v>
      </c>
      <c r="N1080" s="35">
        <f t="shared" si="95"/>
        <v>22500</v>
      </c>
      <c r="O1080" s="35">
        <f t="shared" si="96"/>
        <v>0.92213114754098358</v>
      </c>
      <c r="P1080" s="35">
        <f t="shared" si="97"/>
        <v>1.8442622950819672</v>
      </c>
    </row>
    <row r="1081" spans="12:16" ht="15" hidden="1" customHeight="1">
      <c r="L1081" s="43">
        <f t="shared" si="93"/>
        <v>45582</v>
      </c>
      <c r="M1081" s="35">
        <f t="shared" si="94"/>
        <v>0</v>
      </c>
      <c r="N1081" s="35">
        <f t="shared" si="95"/>
        <v>22500</v>
      </c>
      <c r="O1081" s="35">
        <f t="shared" si="96"/>
        <v>0.92213114754098358</v>
      </c>
      <c r="P1081" s="35">
        <f t="shared" si="97"/>
        <v>1.8442622950819672</v>
      </c>
    </row>
    <row r="1082" spans="12:16" ht="15" hidden="1" customHeight="1">
      <c r="L1082" s="43">
        <f t="shared" si="93"/>
        <v>45583</v>
      </c>
      <c r="M1082" s="35">
        <f t="shared" si="94"/>
        <v>0</v>
      </c>
      <c r="N1082" s="35">
        <f t="shared" si="95"/>
        <v>22500</v>
      </c>
      <c r="O1082" s="35">
        <f t="shared" si="96"/>
        <v>0.92213114754098358</v>
      </c>
      <c r="P1082" s="35">
        <f t="shared" si="97"/>
        <v>1.8442622950819672</v>
      </c>
    </row>
    <row r="1083" spans="12:16" ht="15" hidden="1" customHeight="1">
      <c r="L1083" s="43">
        <f t="shared" si="93"/>
        <v>45584</v>
      </c>
      <c r="M1083" s="35">
        <f t="shared" si="94"/>
        <v>0</v>
      </c>
      <c r="N1083" s="35">
        <f t="shared" si="95"/>
        <v>22500</v>
      </c>
      <c r="O1083" s="35">
        <f t="shared" si="96"/>
        <v>0.92213114754098358</v>
      </c>
      <c r="P1083" s="35">
        <f t="shared" si="97"/>
        <v>1.8442622950819672</v>
      </c>
    </row>
    <row r="1084" spans="12:16" ht="15" hidden="1" customHeight="1">
      <c r="L1084" s="43">
        <f t="shared" si="93"/>
        <v>45585</v>
      </c>
      <c r="M1084" s="35">
        <f t="shared" si="94"/>
        <v>0</v>
      </c>
      <c r="N1084" s="35">
        <f t="shared" si="95"/>
        <v>22500</v>
      </c>
      <c r="O1084" s="35">
        <f t="shared" si="96"/>
        <v>0.92213114754098358</v>
      </c>
      <c r="P1084" s="35">
        <f t="shared" si="97"/>
        <v>1.8442622950819672</v>
      </c>
    </row>
    <row r="1085" spans="12:16" ht="15" hidden="1" customHeight="1">
      <c r="L1085" s="43">
        <f t="shared" si="93"/>
        <v>45586</v>
      </c>
      <c r="M1085" s="35">
        <f t="shared" si="94"/>
        <v>0</v>
      </c>
      <c r="N1085" s="35">
        <f t="shared" si="95"/>
        <v>22500</v>
      </c>
      <c r="O1085" s="35">
        <f t="shared" si="96"/>
        <v>0.92213114754098358</v>
      </c>
      <c r="P1085" s="35">
        <f t="shared" si="97"/>
        <v>1.8442622950819672</v>
      </c>
    </row>
    <row r="1086" spans="12:16" ht="15" hidden="1" customHeight="1">
      <c r="L1086" s="43">
        <f t="shared" si="93"/>
        <v>45587</v>
      </c>
      <c r="M1086" s="35">
        <f t="shared" si="94"/>
        <v>0</v>
      </c>
      <c r="N1086" s="35">
        <f t="shared" si="95"/>
        <v>22500</v>
      </c>
      <c r="O1086" s="35">
        <f t="shared" si="96"/>
        <v>0.92213114754098358</v>
      </c>
      <c r="P1086" s="35">
        <f t="shared" si="97"/>
        <v>1.8442622950819672</v>
      </c>
    </row>
    <row r="1087" spans="12:16" ht="15" hidden="1" customHeight="1">
      <c r="L1087" s="43">
        <f t="shared" si="93"/>
        <v>45588</v>
      </c>
      <c r="M1087" s="35">
        <f t="shared" si="94"/>
        <v>0</v>
      </c>
      <c r="N1087" s="35">
        <f t="shared" si="95"/>
        <v>22500</v>
      </c>
      <c r="O1087" s="35">
        <f t="shared" si="96"/>
        <v>0.92213114754098358</v>
      </c>
      <c r="P1087" s="35">
        <f t="shared" si="97"/>
        <v>1.8442622950819672</v>
      </c>
    </row>
    <row r="1088" spans="12:16" ht="15" hidden="1" customHeight="1">
      <c r="L1088" s="43">
        <f t="shared" si="93"/>
        <v>45589</v>
      </c>
      <c r="M1088" s="35">
        <f t="shared" si="94"/>
        <v>0</v>
      </c>
      <c r="N1088" s="35">
        <f t="shared" si="95"/>
        <v>22500</v>
      </c>
      <c r="O1088" s="35">
        <f t="shared" si="96"/>
        <v>0.92213114754098358</v>
      </c>
      <c r="P1088" s="35">
        <f t="shared" si="97"/>
        <v>1.8442622950819672</v>
      </c>
    </row>
    <row r="1089" spans="12:16" ht="15" hidden="1" customHeight="1">
      <c r="L1089" s="43">
        <f t="shared" si="93"/>
        <v>45590</v>
      </c>
      <c r="M1089" s="35">
        <f t="shared" si="94"/>
        <v>0</v>
      </c>
      <c r="N1089" s="35">
        <f t="shared" si="95"/>
        <v>22500</v>
      </c>
      <c r="O1089" s="35">
        <f t="shared" si="96"/>
        <v>0.92213114754098358</v>
      </c>
      <c r="P1089" s="35">
        <f t="shared" si="97"/>
        <v>1.8442622950819672</v>
      </c>
    </row>
    <row r="1090" spans="12:16" ht="15" hidden="1" customHeight="1">
      <c r="L1090" s="43">
        <f t="shared" si="93"/>
        <v>45591</v>
      </c>
      <c r="M1090" s="35">
        <f t="shared" si="94"/>
        <v>0</v>
      </c>
      <c r="N1090" s="35">
        <f t="shared" si="95"/>
        <v>22500</v>
      </c>
      <c r="O1090" s="35">
        <f t="shared" si="96"/>
        <v>0.92213114754098358</v>
      </c>
      <c r="P1090" s="35">
        <f t="shared" si="97"/>
        <v>1.8442622950819672</v>
      </c>
    </row>
    <row r="1091" spans="12:16" ht="15" hidden="1" customHeight="1">
      <c r="L1091" s="43">
        <f t="shared" si="93"/>
        <v>45592</v>
      </c>
      <c r="M1091" s="35">
        <f t="shared" si="94"/>
        <v>0</v>
      </c>
      <c r="N1091" s="35">
        <f t="shared" si="95"/>
        <v>22500</v>
      </c>
      <c r="O1091" s="35">
        <f t="shared" si="96"/>
        <v>0.92213114754098358</v>
      </c>
      <c r="P1091" s="35">
        <f t="shared" si="97"/>
        <v>1.8442622950819672</v>
      </c>
    </row>
    <row r="1092" spans="12:16" ht="15" hidden="1" customHeight="1">
      <c r="L1092" s="43">
        <f t="shared" si="93"/>
        <v>45593</v>
      </c>
      <c r="M1092" s="35">
        <f t="shared" si="94"/>
        <v>0</v>
      </c>
      <c r="N1092" s="35">
        <f t="shared" si="95"/>
        <v>22500</v>
      </c>
      <c r="O1092" s="35">
        <f t="shared" si="96"/>
        <v>0.92213114754098358</v>
      </c>
      <c r="P1092" s="35">
        <f t="shared" si="97"/>
        <v>1.8442622950819672</v>
      </c>
    </row>
    <row r="1093" spans="12:16" ht="15" hidden="1" customHeight="1">
      <c r="L1093" s="43">
        <f t="shared" si="93"/>
        <v>45594</v>
      </c>
      <c r="M1093" s="35">
        <f t="shared" si="94"/>
        <v>0</v>
      </c>
      <c r="N1093" s="35">
        <f t="shared" si="95"/>
        <v>22500</v>
      </c>
      <c r="O1093" s="35">
        <f t="shared" si="96"/>
        <v>0.92213114754098358</v>
      </c>
      <c r="P1093" s="35">
        <f t="shared" si="97"/>
        <v>1.8442622950819672</v>
      </c>
    </row>
    <row r="1094" spans="12:16" ht="15" hidden="1" customHeight="1">
      <c r="L1094" s="43">
        <f t="shared" si="93"/>
        <v>45595</v>
      </c>
      <c r="M1094" s="35">
        <f t="shared" si="94"/>
        <v>0</v>
      </c>
      <c r="N1094" s="35">
        <f t="shared" si="95"/>
        <v>22500</v>
      </c>
      <c r="O1094" s="35">
        <f t="shared" si="96"/>
        <v>0.92213114754098358</v>
      </c>
      <c r="P1094" s="35">
        <f t="shared" si="97"/>
        <v>1.8442622950819672</v>
      </c>
    </row>
    <row r="1095" spans="12:16" ht="15" hidden="1" customHeight="1">
      <c r="L1095" s="43">
        <f t="shared" si="93"/>
        <v>45596</v>
      </c>
      <c r="M1095" s="35">
        <f t="shared" si="94"/>
        <v>0</v>
      </c>
      <c r="N1095" s="35">
        <f t="shared" si="95"/>
        <v>22500</v>
      </c>
      <c r="O1095" s="35">
        <f t="shared" si="96"/>
        <v>0.92213114754098358</v>
      </c>
      <c r="P1095" s="35">
        <f t="shared" si="97"/>
        <v>1.8442622950819672</v>
      </c>
    </row>
    <row r="1096" spans="12:16" ht="15" hidden="1" customHeight="1">
      <c r="L1096" s="43">
        <f t="shared" si="93"/>
        <v>45597</v>
      </c>
      <c r="M1096" s="35">
        <f t="shared" si="94"/>
        <v>0</v>
      </c>
      <c r="N1096" s="35">
        <f t="shared" si="95"/>
        <v>22500</v>
      </c>
      <c r="O1096" s="35">
        <f t="shared" si="96"/>
        <v>0.92213114754098358</v>
      </c>
      <c r="P1096" s="35">
        <f t="shared" si="97"/>
        <v>1.8442622950819672</v>
      </c>
    </row>
    <row r="1097" spans="12:16" ht="15" hidden="1" customHeight="1">
      <c r="L1097" s="43">
        <f t="shared" si="93"/>
        <v>45598</v>
      </c>
      <c r="M1097" s="35">
        <f t="shared" si="94"/>
        <v>0</v>
      </c>
      <c r="N1097" s="35">
        <f t="shared" si="95"/>
        <v>22500</v>
      </c>
      <c r="O1097" s="35">
        <f t="shared" si="96"/>
        <v>0.92213114754098358</v>
      </c>
      <c r="P1097" s="35">
        <f t="shared" si="97"/>
        <v>1.8442622950819672</v>
      </c>
    </row>
    <row r="1098" spans="12:16" ht="15" hidden="1" customHeight="1">
      <c r="L1098" s="43">
        <f t="shared" si="93"/>
        <v>45599</v>
      </c>
      <c r="M1098" s="35">
        <f t="shared" si="94"/>
        <v>0</v>
      </c>
      <c r="N1098" s="35">
        <f t="shared" si="95"/>
        <v>22500</v>
      </c>
      <c r="O1098" s="35">
        <f t="shared" si="96"/>
        <v>0.92213114754098358</v>
      </c>
      <c r="P1098" s="35">
        <f t="shared" si="97"/>
        <v>1.8442622950819672</v>
      </c>
    </row>
    <row r="1099" spans="12:16" ht="15" hidden="1" customHeight="1">
      <c r="L1099" s="43">
        <f t="shared" si="93"/>
        <v>45600</v>
      </c>
      <c r="M1099" s="35">
        <f t="shared" si="94"/>
        <v>0</v>
      </c>
      <c r="N1099" s="35">
        <f t="shared" si="95"/>
        <v>22500</v>
      </c>
      <c r="O1099" s="35">
        <f t="shared" si="96"/>
        <v>0.92213114754098358</v>
      </c>
      <c r="P1099" s="35">
        <f t="shared" si="97"/>
        <v>1.8442622950819672</v>
      </c>
    </row>
    <row r="1100" spans="12:16" ht="15" hidden="1" customHeight="1">
      <c r="L1100" s="43">
        <f t="shared" si="93"/>
        <v>45601</v>
      </c>
      <c r="M1100" s="35">
        <f t="shared" si="94"/>
        <v>0</v>
      </c>
      <c r="N1100" s="35">
        <f t="shared" si="95"/>
        <v>22500</v>
      </c>
      <c r="O1100" s="35">
        <f t="shared" si="96"/>
        <v>0.92213114754098358</v>
      </c>
      <c r="P1100" s="35">
        <f t="shared" si="97"/>
        <v>1.8442622950819672</v>
      </c>
    </row>
    <row r="1101" spans="12:16" ht="15" hidden="1" customHeight="1">
      <c r="L1101" s="43">
        <f t="shared" si="93"/>
        <v>45602</v>
      </c>
      <c r="M1101" s="35">
        <f t="shared" si="94"/>
        <v>0</v>
      </c>
      <c r="N1101" s="35">
        <f t="shared" si="95"/>
        <v>22500</v>
      </c>
      <c r="O1101" s="35">
        <f t="shared" si="96"/>
        <v>0.92213114754098358</v>
      </c>
      <c r="P1101" s="35">
        <f t="shared" si="97"/>
        <v>1.8442622950819672</v>
      </c>
    </row>
    <row r="1102" spans="12:16" ht="15" hidden="1" customHeight="1">
      <c r="L1102" s="43">
        <f t="shared" si="93"/>
        <v>45603</v>
      </c>
      <c r="M1102" s="35">
        <f t="shared" si="94"/>
        <v>0</v>
      </c>
      <c r="N1102" s="35">
        <f t="shared" si="95"/>
        <v>22500</v>
      </c>
      <c r="O1102" s="35">
        <f t="shared" si="96"/>
        <v>0.92213114754098358</v>
      </c>
      <c r="P1102" s="35">
        <f t="shared" si="97"/>
        <v>1.8442622950819672</v>
      </c>
    </row>
    <row r="1103" spans="12:16" ht="15" hidden="1" customHeight="1">
      <c r="L1103" s="43">
        <f t="shared" si="93"/>
        <v>45604</v>
      </c>
      <c r="M1103" s="35">
        <f t="shared" si="94"/>
        <v>0</v>
      </c>
      <c r="N1103" s="35">
        <f t="shared" si="95"/>
        <v>22500</v>
      </c>
      <c r="O1103" s="35">
        <f t="shared" si="96"/>
        <v>0.92213114754098358</v>
      </c>
      <c r="P1103" s="35">
        <f t="shared" si="97"/>
        <v>1.8442622950819672</v>
      </c>
    </row>
    <row r="1104" spans="12:16" ht="15" hidden="1" customHeight="1">
      <c r="L1104" s="43">
        <f t="shared" si="93"/>
        <v>45605</v>
      </c>
      <c r="M1104" s="35">
        <f t="shared" si="94"/>
        <v>0</v>
      </c>
      <c r="N1104" s="35">
        <f t="shared" si="95"/>
        <v>22500</v>
      </c>
      <c r="O1104" s="35">
        <f t="shared" si="96"/>
        <v>0.92213114754098358</v>
      </c>
      <c r="P1104" s="35">
        <f t="shared" si="97"/>
        <v>1.8442622950819672</v>
      </c>
    </row>
    <row r="1105" spans="12:16" ht="15" hidden="1" customHeight="1">
      <c r="L1105" s="43">
        <f t="shared" si="93"/>
        <v>45606</v>
      </c>
      <c r="M1105" s="35">
        <f t="shared" si="94"/>
        <v>0</v>
      </c>
      <c r="N1105" s="35">
        <f t="shared" si="95"/>
        <v>22500</v>
      </c>
      <c r="O1105" s="35">
        <f t="shared" si="96"/>
        <v>0.92213114754098358</v>
      </c>
      <c r="P1105" s="35">
        <f t="shared" si="97"/>
        <v>1.8442622950819672</v>
      </c>
    </row>
    <row r="1106" spans="12:16" ht="15" hidden="1" customHeight="1">
      <c r="L1106" s="43">
        <f t="shared" si="93"/>
        <v>45607</v>
      </c>
      <c r="M1106" s="35">
        <f t="shared" si="94"/>
        <v>0</v>
      </c>
      <c r="N1106" s="35">
        <f t="shared" si="95"/>
        <v>22500</v>
      </c>
      <c r="O1106" s="35">
        <f t="shared" si="96"/>
        <v>0.92213114754098358</v>
      </c>
      <c r="P1106" s="35">
        <f t="shared" si="97"/>
        <v>1.8442622950819672</v>
      </c>
    </row>
    <row r="1107" spans="12:16" ht="15" hidden="1" customHeight="1">
      <c r="L1107" s="43">
        <f t="shared" si="93"/>
        <v>45608</v>
      </c>
      <c r="M1107" s="35">
        <f t="shared" si="94"/>
        <v>0</v>
      </c>
      <c r="N1107" s="35">
        <f t="shared" si="95"/>
        <v>22500</v>
      </c>
      <c r="O1107" s="35">
        <f t="shared" si="96"/>
        <v>0.92213114754098358</v>
      </c>
      <c r="P1107" s="35">
        <f t="shared" si="97"/>
        <v>1.8442622950819672</v>
      </c>
    </row>
    <row r="1108" spans="12:16" ht="15" hidden="1" customHeight="1">
      <c r="L1108" s="43">
        <f t="shared" si="93"/>
        <v>45609</v>
      </c>
      <c r="M1108" s="35">
        <f t="shared" si="94"/>
        <v>0</v>
      </c>
      <c r="N1108" s="35">
        <f t="shared" si="95"/>
        <v>22500</v>
      </c>
      <c r="O1108" s="35">
        <f t="shared" si="96"/>
        <v>0.92213114754098358</v>
      </c>
      <c r="P1108" s="35">
        <f t="shared" si="97"/>
        <v>1.8442622950819672</v>
      </c>
    </row>
    <row r="1109" spans="12:16" ht="15" hidden="1" customHeight="1">
      <c r="L1109" s="43">
        <f t="shared" si="93"/>
        <v>45610</v>
      </c>
      <c r="M1109" s="35">
        <f t="shared" si="94"/>
        <v>0</v>
      </c>
      <c r="N1109" s="35">
        <f t="shared" si="95"/>
        <v>22500</v>
      </c>
      <c r="O1109" s="35">
        <f t="shared" si="96"/>
        <v>0.92213114754098358</v>
      </c>
      <c r="P1109" s="35">
        <f t="shared" si="97"/>
        <v>1.8442622950819672</v>
      </c>
    </row>
    <row r="1110" spans="12:16" ht="15" hidden="1" customHeight="1">
      <c r="L1110" s="43">
        <f t="shared" si="93"/>
        <v>45611</v>
      </c>
      <c r="M1110" s="35">
        <f t="shared" si="94"/>
        <v>0</v>
      </c>
      <c r="N1110" s="35">
        <f t="shared" si="95"/>
        <v>22500</v>
      </c>
      <c r="O1110" s="35">
        <f t="shared" si="96"/>
        <v>0.92213114754098358</v>
      </c>
      <c r="P1110" s="35">
        <f t="shared" si="97"/>
        <v>1.8442622950819672</v>
      </c>
    </row>
    <row r="1111" spans="12:16" ht="15" hidden="1" customHeight="1">
      <c r="L1111" s="43">
        <f t="shared" si="93"/>
        <v>45612</v>
      </c>
      <c r="M1111" s="35">
        <f t="shared" si="94"/>
        <v>0</v>
      </c>
      <c r="N1111" s="35">
        <f t="shared" si="95"/>
        <v>22500</v>
      </c>
      <c r="O1111" s="35">
        <f t="shared" si="96"/>
        <v>0.92213114754098358</v>
      </c>
      <c r="P1111" s="35">
        <f t="shared" si="97"/>
        <v>1.8442622950819672</v>
      </c>
    </row>
    <row r="1112" spans="12:16" ht="15" hidden="1" customHeight="1">
      <c r="L1112" s="43">
        <f t="shared" si="93"/>
        <v>45613</v>
      </c>
      <c r="M1112" s="35">
        <f t="shared" si="94"/>
        <v>0</v>
      </c>
      <c r="N1112" s="35">
        <f t="shared" si="95"/>
        <v>22500</v>
      </c>
      <c r="O1112" s="35">
        <f t="shared" si="96"/>
        <v>0.92213114754098358</v>
      </c>
      <c r="P1112" s="35">
        <f t="shared" si="97"/>
        <v>1.8442622950819672</v>
      </c>
    </row>
    <row r="1113" spans="12:16" ht="15" hidden="1" customHeight="1">
      <c r="L1113" s="43">
        <f t="shared" si="93"/>
        <v>45614</v>
      </c>
      <c r="M1113" s="35">
        <f t="shared" si="94"/>
        <v>0</v>
      </c>
      <c r="N1113" s="35">
        <f t="shared" si="95"/>
        <v>22500</v>
      </c>
      <c r="O1113" s="35">
        <f t="shared" si="96"/>
        <v>0.92213114754098358</v>
      </c>
      <c r="P1113" s="35">
        <f t="shared" si="97"/>
        <v>1.8442622950819672</v>
      </c>
    </row>
    <row r="1114" spans="12:16" ht="15" hidden="1" customHeight="1">
      <c r="L1114" s="43">
        <f t="shared" si="93"/>
        <v>45615</v>
      </c>
      <c r="M1114" s="35">
        <f t="shared" si="94"/>
        <v>0</v>
      </c>
      <c r="N1114" s="35">
        <f t="shared" si="95"/>
        <v>22500</v>
      </c>
      <c r="O1114" s="35">
        <f t="shared" si="96"/>
        <v>0.92213114754098358</v>
      </c>
      <c r="P1114" s="35">
        <f t="shared" si="97"/>
        <v>1.8442622950819672</v>
      </c>
    </row>
    <row r="1115" spans="12:16" ht="15" hidden="1" customHeight="1">
      <c r="L1115" s="43">
        <f t="shared" si="93"/>
        <v>45616</v>
      </c>
      <c r="M1115" s="35">
        <f t="shared" si="94"/>
        <v>0</v>
      </c>
      <c r="N1115" s="35">
        <f t="shared" si="95"/>
        <v>22500</v>
      </c>
      <c r="O1115" s="35">
        <f t="shared" si="96"/>
        <v>0.92213114754098358</v>
      </c>
      <c r="P1115" s="35">
        <f t="shared" si="97"/>
        <v>1.8442622950819672</v>
      </c>
    </row>
    <row r="1116" spans="12:16" ht="15" hidden="1" customHeight="1">
      <c r="L1116" s="43">
        <f t="shared" si="93"/>
        <v>45617</v>
      </c>
      <c r="M1116" s="35">
        <f t="shared" si="94"/>
        <v>0</v>
      </c>
      <c r="N1116" s="35">
        <f t="shared" si="95"/>
        <v>22500</v>
      </c>
      <c r="O1116" s="35">
        <f t="shared" si="96"/>
        <v>0.92213114754098358</v>
      </c>
      <c r="P1116" s="35">
        <f t="shared" si="97"/>
        <v>1.8442622950819672</v>
      </c>
    </row>
    <row r="1117" spans="12:16" ht="15" hidden="1" customHeight="1">
      <c r="L1117" s="43">
        <f t="shared" si="93"/>
        <v>45618</v>
      </c>
      <c r="M1117" s="35">
        <f t="shared" si="94"/>
        <v>0</v>
      </c>
      <c r="N1117" s="35">
        <f t="shared" si="95"/>
        <v>22500</v>
      </c>
      <c r="O1117" s="35">
        <f t="shared" si="96"/>
        <v>0.92213114754098358</v>
      </c>
      <c r="P1117" s="35">
        <f t="shared" si="97"/>
        <v>1.8442622950819672</v>
      </c>
    </row>
    <row r="1118" spans="12:16" ht="15" hidden="1" customHeight="1">
      <c r="L1118" s="43">
        <f t="shared" si="93"/>
        <v>45619</v>
      </c>
      <c r="M1118" s="35">
        <f t="shared" si="94"/>
        <v>0</v>
      </c>
      <c r="N1118" s="35">
        <f t="shared" si="95"/>
        <v>22500</v>
      </c>
      <c r="O1118" s="35">
        <f t="shared" si="96"/>
        <v>0.92213114754098358</v>
      </c>
      <c r="P1118" s="35">
        <f t="shared" si="97"/>
        <v>1.8442622950819672</v>
      </c>
    </row>
    <row r="1119" spans="12:16" ht="15" hidden="1" customHeight="1">
      <c r="L1119" s="43">
        <f t="shared" ref="L1119:L1182" si="98">IFERROR(IF(MAX(L1118+1,Дата_получения_Займа+1)&gt;Дата_погашения_Займа,"-",MAX(L1118+1,Дата_получения_Займа+1)),"-")</f>
        <v>45620</v>
      </c>
      <c r="M1119" s="35">
        <f t="shared" ref="M1119:M1182" si="99">IFERROR(VLOOKUP(L1119,$B$31:$E$59,4,FALSE),0)</f>
        <v>0</v>
      </c>
      <c r="N1119" s="35">
        <f t="shared" ref="N1119:N1182" si="100">IF(ISNUMBER(N1118),N1118-M1119,$E$20)</f>
        <v>22500</v>
      </c>
      <c r="O1119" s="35">
        <f t="shared" ref="O1119:O1182" si="101">IFERROR(IF(ISNUMBER(N1118),N1118,$E$20)*IF(L1119&gt;=$J$20,$E$25,$E$24)/IF(MOD(YEAR(L1119),4),365,366)*IF(ISBLANK(L1118),L1119-$E$22,L1119-L1118),0)</f>
        <v>0.92213114754098358</v>
      </c>
      <c r="P1119" s="35">
        <f t="shared" ref="P1119:P1182" si="102">IFERROR(IF(ISNUMBER(N1118),N1118,$E$20)*3%/IF(MOD(YEAR(L1119),4),365,366)*IF(ISBLANK(L1118),(L1119-$E$22),L1119-L1118),0)</f>
        <v>1.8442622950819672</v>
      </c>
    </row>
    <row r="1120" spans="12:16" ht="15" hidden="1" customHeight="1">
      <c r="L1120" s="43">
        <f t="shared" si="98"/>
        <v>45621</v>
      </c>
      <c r="M1120" s="35">
        <f t="shared" si="99"/>
        <v>0</v>
      </c>
      <c r="N1120" s="35">
        <f t="shared" si="100"/>
        <v>22500</v>
      </c>
      <c r="O1120" s="35">
        <f t="shared" si="101"/>
        <v>0.92213114754098358</v>
      </c>
      <c r="P1120" s="35">
        <f t="shared" si="102"/>
        <v>1.8442622950819672</v>
      </c>
    </row>
    <row r="1121" spans="12:16" ht="15" hidden="1" customHeight="1">
      <c r="L1121" s="43">
        <f t="shared" si="98"/>
        <v>45622</v>
      </c>
      <c r="M1121" s="35">
        <f t="shared" si="99"/>
        <v>0</v>
      </c>
      <c r="N1121" s="35">
        <f t="shared" si="100"/>
        <v>22500</v>
      </c>
      <c r="O1121" s="35">
        <f t="shared" si="101"/>
        <v>0.92213114754098358</v>
      </c>
      <c r="P1121" s="35">
        <f t="shared" si="102"/>
        <v>1.8442622950819672</v>
      </c>
    </row>
    <row r="1122" spans="12:16" ht="15" hidden="1" customHeight="1">
      <c r="L1122" s="43">
        <f t="shared" si="98"/>
        <v>45623</v>
      </c>
      <c r="M1122" s="35">
        <f t="shared" si="99"/>
        <v>0</v>
      </c>
      <c r="N1122" s="35">
        <f t="shared" si="100"/>
        <v>22500</v>
      </c>
      <c r="O1122" s="35">
        <f t="shared" si="101"/>
        <v>0.92213114754098358</v>
      </c>
      <c r="P1122" s="35">
        <f t="shared" si="102"/>
        <v>1.8442622950819672</v>
      </c>
    </row>
    <row r="1123" spans="12:16" ht="15" hidden="1" customHeight="1">
      <c r="L1123" s="43">
        <f t="shared" si="98"/>
        <v>45624</v>
      </c>
      <c r="M1123" s="35">
        <f t="shared" si="99"/>
        <v>0</v>
      </c>
      <c r="N1123" s="35">
        <f t="shared" si="100"/>
        <v>22500</v>
      </c>
      <c r="O1123" s="35">
        <f t="shared" si="101"/>
        <v>0.92213114754098358</v>
      </c>
      <c r="P1123" s="35">
        <f t="shared" si="102"/>
        <v>1.8442622950819672</v>
      </c>
    </row>
    <row r="1124" spans="12:16" ht="15" hidden="1" customHeight="1">
      <c r="L1124" s="43">
        <f t="shared" si="98"/>
        <v>45625</v>
      </c>
      <c r="M1124" s="35">
        <f t="shared" si="99"/>
        <v>0</v>
      </c>
      <c r="N1124" s="35">
        <f t="shared" si="100"/>
        <v>22500</v>
      </c>
      <c r="O1124" s="35">
        <f t="shared" si="101"/>
        <v>0.92213114754098358</v>
      </c>
      <c r="P1124" s="35">
        <f t="shared" si="102"/>
        <v>1.8442622950819672</v>
      </c>
    </row>
    <row r="1125" spans="12:16" ht="15" hidden="1" customHeight="1">
      <c r="L1125" s="43">
        <f t="shared" si="98"/>
        <v>45626</v>
      </c>
      <c r="M1125" s="35">
        <f t="shared" si="99"/>
        <v>0</v>
      </c>
      <c r="N1125" s="35">
        <f t="shared" si="100"/>
        <v>22500</v>
      </c>
      <c r="O1125" s="35">
        <f t="shared" si="101"/>
        <v>0.92213114754098358</v>
      </c>
      <c r="P1125" s="35">
        <f t="shared" si="102"/>
        <v>1.8442622950819672</v>
      </c>
    </row>
    <row r="1126" spans="12:16" ht="15" hidden="1" customHeight="1">
      <c r="L1126" s="43">
        <f t="shared" si="98"/>
        <v>45627</v>
      </c>
      <c r="M1126" s="35">
        <f t="shared" si="99"/>
        <v>0</v>
      </c>
      <c r="N1126" s="35">
        <f t="shared" si="100"/>
        <v>22500</v>
      </c>
      <c r="O1126" s="35">
        <f t="shared" si="101"/>
        <v>0.92213114754098358</v>
      </c>
      <c r="P1126" s="35">
        <f t="shared" si="102"/>
        <v>1.8442622950819672</v>
      </c>
    </row>
    <row r="1127" spans="12:16" ht="15" hidden="1" customHeight="1">
      <c r="L1127" s="43">
        <f t="shared" si="98"/>
        <v>45628</v>
      </c>
      <c r="M1127" s="35">
        <f t="shared" si="99"/>
        <v>0</v>
      </c>
      <c r="N1127" s="35">
        <f t="shared" si="100"/>
        <v>22500</v>
      </c>
      <c r="O1127" s="35">
        <f t="shared" si="101"/>
        <v>0.92213114754098358</v>
      </c>
      <c r="P1127" s="35">
        <f t="shared" si="102"/>
        <v>1.8442622950819672</v>
      </c>
    </row>
    <row r="1128" spans="12:16" ht="15" hidden="1" customHeight="1">
      <c r="L1128" s="43">
        <f t="shared" si="98"/>
        <v>45629</v>
      </c>
      <c r="M1128" s="35">
        <f t="shared" si="99"/>
        <v>0</v>
      </c>
      <c r="N1128" s="35">
        <f t="shared" si="100"/>
        <v>22500</v>
      </c>
      <c r="O1128" s="35">
        <f t="shared" si="101"/>
        <v>0.92213114754098358</v>
      </c>
      <c r="P1128" s="35">
        <f t="shared" si="102"/>
        <v>1.8442622950819672</v>
      </c>
    </row>
    <row r="1129" spans="12:16" ht="15" hidden="1" customHeight="1">
      <c r="L1129" s="43">
        <f t="shared" si="98"/>
        <v>45630</v>
      </c>
      <c r="M1129" s="35">
        <f t="shared" si="99"/>
        <v>0</v>
      </c>
      <c r="N1129" s="35">
        <f t="shared" si="100"/>
        <v>22500</v>
      </c>
      <c r="O1129" s="35">
        <f t="shared" si="101"/>
        <v>0.92213114754098358</v>
      </c>
      <c r="P1129" s="35">
        <f t="shared" si="102"/>
        <v>1.8442622950819672</v>
      </c>
    </row>
    <row r="1130" spans="12:16" ht="15" hidden="1" customHeight="1">
      <c r="L1130" s="43">
        <f t="shared" si="98"/>
        <v>45631</v>
      </c>
      <c r="M1130" s="35">
        <f t="shared" si="99"/>
        <v>0</v>
      </c>
      <c r="N1130" s="35">
        <f t="shared" si="100"/>
        <v>22500</v>
      </c>
      <c r="O1130" s="35">
        <f t="shared" si="101"/>
        <v>0.92213114754098358</v>
      </c>
      <c r="P1130" s="35">
        <f t="shared" si="102"/>
        <v>1.8442622950819672</v>
      </c>
    </row>
    <row r="1131" spans="12:16" ht="15" hidden="1" customHeight="1">
      <c r="L1131" s="43">
        <f t="shared" si="98"/>
        <v>45632</v>
      </c>
      <c r="M1131" s="35">
        <f t="shared" si="99"/>
        <v>0</v>
      </c>
      <c r="N1131" s="35">
        <f t="shared" si="100"/>
        <v>22500</v>
      </c>
      <c r="O1131" s="35">
        <f t="shared" si="101"/>
        <v>0.92213114754098358</v>
      </c>
      <c r="P1131" s="35">
        <f t="shared" si="102"/>
        <v>1.8442622950819672</v>
      </c>
    </row>
    <row r="1132" spans="12:16" ht="15" hidden="1" customHeight="1">
      <c r="L1132" s="43">
        <f t="shared" si="98"/>
        <v>45633</v>
      </c>
      <c r="M1132" s="35">
        <f t="shared" si="99"/>
        <v>0</v>
      </c>
      <c r="N1132" s="35">
        <f t="shared" si="100"/>
        <v>22500</v>
      </c>
      <c r="O1132" s="35">
        <f t="shared" si="101"/>
        <v>0.92213114754098358</v>
      </c>
      <c r="P1132" s="35">
        <f t="shared" si="102"/>
        <v>1.8442622950819672</v>
      </c>
    </row>
    <row r="1133" spans="12:16" ht="15" hidden="1" customHeight="1">
      <c r="L1133" s="43">
        <f t="shared" si="98"/>
        <v>45634</v>
      </c>
      <c r="M1133" s="35">
        <f t="shared" si="99"/>
        <v>0</v>
      </c>
      <c r="N1133" s="35">
        <f t="shared" si="100"/>
        <v>22500</v>
      </c>
      <c r="O1133" s="35">
        <f t="shared" si="101"/>
        <v>0.92213114754098358</v>
      </c>
      <c r="P1133" s="35">
        <f t="shared" si="102"/>
        <v>1.8442622950819672</v>
      </c>
    </row>
    <row r="1134" spans="12:16" ht="15" hidden="1" customHeight="1">
      <c r="L1134" s="43">
        <f t="shared" si="98"/>
        <v>45635</v>
      </c>
      <c r="M1134" s="35">
        <f t="shared" si="99"/>
        <v>0</v>
      </c>
      <c r="N1134" s="35">
        <f t="shared" si="100"/>
        <v>22500</v>
      </c>
      <c r="O1134" s="35">
        <f t="shared" si="101"/>
        <v>0.92213114754098358</v>
      </c>
      <c r="P1134" s="35">
        <f t="shared" si="102"/>
        <v>1.8442622950819672</v>
      </c>
    </row>
    <row r="1135" spans="12:16" ht="15" hidden="1" customHeight="1">
      <c r="L1135" s="43">
        <f t="shared" si="98"/>
        <v>45636</v>
      </c>
      <c r="M1135" s="35">
        <f t="shared" si="99"/>
        <v>0</v>
      </c>
      <c r="N1135" s="35">
        <f t="shared" si="100"/>
        <v>22500</v>
      </c>
      <c r="O1135" s="35">
        <f t="shared" si="101"/>
        <v>0.92213114754098358</v>
      </c>
      <c r="P1135" s="35">
        <f t="shared" si="102"/>
        <v>1.8442622950819672</v>
      </c>
    </row>
    <row r="1136" spans="12:16" ht="15" hidden="1" customHeight="1">
      <c r="L1136" s="43">
        <f t="shared" si="98"/>
        <v>45637</v>
      </c>
      <c r="M1136" s="35">
        <f t="shared" si="99"/>
        <v>0</v>
      </c>
      <c r="N1136" s="35">
        <f t="shared" si="100"/>
        <v>22500</v>
      </c>
      <c r="O1136" s="35">
        <f t="shared" si="101"/>
        <v>0.92213114754098358</v>
      </c>
      <c r="P1136" s="35">
        <f t="shared" si="102"/>
        <v>1.8442622950819672</v>
      </c>
    </row>
    <row r="1137" spans="12:16" ht="15" hidden="1" customHeight="1">
      <c r="L1137" s="43">
        <f t="shared" si="98"/>
        <v>45638</v>
      </c>
      <c r="M1137" s="35">
        <f t="shared" si="99"/>
        <v>0</v>
      </c>
      <c r="N1137" s="35">
        <f t="shared" si="100"/>
        <v>22500</v>
      </c>
      <c r="O1137" s="35">
        <f t="shared" si="101"/>
        <v>0.92213114754098358</v>
      </c>
      <c r="P1137" s="35">
        <f t="shared" si="102"/>
        <v>1.8442622950819672</v>
      </c>
    </row>
    <row r="1138" spans="12:16" ht="15" hidden="1" customHeight="1">
      <c r="L1138" s="43">
        <f t="shared" si="98"/>
        <v>45639</v>
      </c>
      <c r="M1138" s="35">
        <f t="shared" si="99"/>
        <v>0</v>
      </c>
      <c r="N1138" s="35">
        <f t="shared" si="100"/>
        <v>22500</v>
      </c>
      <c r="O1138" s="35">
        <f t="shared" si="101"/>
        <v>0.92213114754098358</v>
      </c>
      <c r="P1138" s="35">
        <f t="shared" si="102"/>
        <v>1.8442622950819672</v>
      </c>
    </row>
    <row r="1139" spans="12:16" ht="15" hidden="1" customHeight="1">
      <c r="L1139" s="43">
        <f t="shared" si="98"/>
        <v>45640</v>
      </c>
      <c r="M1139" s="35">
        <f t="shared" si="99"/>
        <v>0</v>
      </c>
      <c r="N1139" s="35">
        <f t="shared" si="100"/>
        <v>22500</v>
      </c>
      <c r="O1139" s="35">
        <f t="shared" si="101"/>
        <v>0.92213114754098358</v>
      </c>
      <c r="P1139" s="35">
        <f t="shared" si="102"/>
        <v>1.8442622950819672</v>
      </c>
    </row>
    <row r="1140" spans="12:16" ht="15" hidden="1" customHeight="1">
      <c r="L1140" s="43">
        <f t="shared" si="98"/>
        <v>45641</v>
      </c>
      <c r="M1140" s="35">
        <f t="shared" si="99"/>
        <v>0</v>
      </c>
      <c r="N1140" s="35">
        <f t="shared" si="100"/>
        <v>22500</v>
      </c>
      <c r="O1140" s="35">
        <f t="shared" si="101"/>
        <v>0.92213114754098358</v>
      </c>
      <c r="P1140" s="35">
        <f t="shared" si="102"/>
        <v>1.8442622950819672</v>
      </c>
    </row>
    <row r="1141" spans="12:16" ht="15" hidden="1" customHeight="1">
      <c r="L1141" s="43">
        <f t="shared" si="98"/>
        <v>45642</v>
      </c>
      <c r="M1141" s="35">
        <f t="shared" si="99"/>
        <v>0</v>
      </c>
      <c r="N1141" s="35">
        <f t="shared" si="100"/>
        <v>22500</v>
      </c>
      <c r="O1141" s="35">
        <f t="shared" si="101"/>
        <v>0.92213114754098358</v>
      </c>
      <c r="P1141" s="35">
        <f t="shared" si="102"/>
        <v>1.8442622950819672</v>
      </c>
    </row>
    <row r="1142" spans="12:16" ht="15" hidden="1" customHeight="1">
      <c r="L1142" s="43">
        <f t="shared" si="98"/>
        <v>45643</v>
      </c>
      <c r="M1142" s="35">
        <f t="shared" si="99"/>
        <v>0</v>
      </c>
      <c r="N1142" s="35">
        <f t="shared" si="100"/>
        <v>22500</v>
      </c>
      <c r="O1142" s="35">
        <f t="shared" si="101"/>
        <v>0.92213114754098358</v>
      </c>
      <c r="P1142" s="35">
        <f t="shared" si="102"/>
        <v>1.8442622950819672</v>
      </c>
    </row>
    <row r="1143" spans="12:16" ht="15" hidden="1" customHeight="1">
      <c r="L1143" s="43">
        <f t="shared" si="98"/>
        <v>45644</v>
      </c>
      <c r="M1143" s="35">
        <f t="shared" si="99"/>
        <v>0</v>
      </c>
      <c r="N1143" s="35">
        <f t="shared" si="100"/>
        <v>22500</v>
      </c>
      <c r="O1143" s="35">
        <f t="shared" si="101"/>
        <v>0.92213114754098358</v>
      </c>
      <c r="P1143" s="35">
        <f t="shared" si="102"/>
        <v>1.8442622950819672</v>
      </c>
    </row>
    <row r="1144" spans="12:16" ht="15" hidden="1" customHeight="1">
      <c r="L1144" s="43">
        <f t="shared" si="98"/>
        <v>45645</v>
      </c>
      <c r="M1144" s="35">
        <f t="shared" si="99"/>
        <v>0</v>
      </c>
      <c r="N1144" s="35">
        <f t="shared" si="100"/>
        <v>22500</v>
      </c>
      <c r="O1144" s="35">
        <f t="shared" si="101"/>
        <v>0.92213114754098358</v>
      </c>
      <c r="P1144" s="35">
        <f t="shared" si="102"/>
        <v>1.8442622950819672</v>
      </c>
    </row>
    <row r="1145" spans="12:16" ht="15" hidden="1" customHeight="1">
      <c r="L1145" s="43">
        <f t="shared" si="98"/>
        <v>45646</v>
      </c>
      <c r="M1145" s="35">
        <f t="shared" si="99"/>
        <v>0</v>
      </c>
      <c r="N1145" s="35">
        <f t="shared" si="100"/>
        <v>22500</v>
      </c>
      <c r="O1145" s="35">
        <f t="shared" si="101"/>
        <v>0.92213114754098358</v>
      </c>
      <c r="P1145" s="35">
        <f t="shared" si="102"/>
        <v>1.8442622950819672</v>
      </c>
    </row>
    <row r="1146" spans="12:16" ht="15" hidden="1" customHeight="1">
      <c r="L1146" s="43">
        <f t="shared" si="98"/>
        <v>45647</v>
      </c>
      <c r="M1146" s="35">
        <f t="shared" si="99"/>
        <v>0</v>
      </c>
      <c r="N1146" s="35">
        <f t="shared" si="100"/>
        <v>22500</v>
      </c>
      <c r="O1146" s="35">
        <f t="shared" si="101"/>
        <v>0.92213114754098358</v>
      </c>
      <c r="P1146" s="35">
        <f t="shared" si="102"/>
        <v>1.8442622950819672</v>
      </c>
    </row>
    <row r="1147" spans="12:16" ht="15" hidden="1" customHeight="1">
      <c r="L1147" s="43">
        <f t="shared" si="98"/>
        <v>45648</v>
      </c>
      <c r="M1147" s="35">
        <f t="shared" si="99"/>
        <v>0</v>
      </c>
      <c r="N1147" s="35">
        <f t="shared" si="100"/>
        <v>22500</v>
      </c>
      <c r="O1147" s="35">
        <f t="shared" si="101"/>
        <v>0.92213114754098358</v>
      </c>
      <c r="P1147" s="35">
        <f t="shared" si="102"/>
        <v>1.8442622950819672</v>
      </c>
    </row>
    <row r="1148" spans="12:16" ht="15" hidden="1" customHeight="1">
      <c r="L1148" s="43">
        <f t="shared" si="98"/>
        <v>45649</v>
      </c>
      <c r="M1148" s="35">
        <f t="shared" si="99"/>
        <v>0</v>
      </c>
      <c r="N1148" s="35">
        <f t="shared" si="100"/>
        <v>22500</v>
      </c>
      <c r="O1148" s="35">
        <f t="shared" si="101"/>
        <v>0.92213114754098358</v>
      </c>
      <c r="P1148" s="35">
        <f t="shared" si="102"/>
        <v>1.8442622950819672</v>
      </c>
    </row>
    <row r="1149" spans="12:16" ht="15" hidden="1" customHeight="1">
      <c r="L1149" s="43">
        <f t="shared" si="98"/>
        <v>45650</v>
      </c>
      <c r="M1149" s="35">
        <f t="shared" si="99"/>
        <v>0</v>
      </c>
      <c r="N1149" s="35">
        <f t="shared" si="100"/>
        <v>22500</v>
      </c>
      <c r="O1149" s="35">
        <f t="shared" si="101"/>
        <v>0.92213114754098358</v>
      </c>
      <c r="P1149" s="35">
        <f t="shared" si="102"/>
        <v>1.8442622950819672</v>
      </c>
    </row>
    <row r="1150" spans="12:16" ht="15" hidden="1" customHeight="1">
      <c r="L1150" s="43">
        <f t="shared" si="98"/>
        <v>45651</v>
      </c>
      <c r="M1150" s="35">
        <f t="shared" si="99"/>
        <v>0</v>
      </c>
      <c r="N1150" s="35">
        <f t="shared" si="100"/>
        <v>22500</v>
      </c>
      <c r="O1150" s="35">
        <f t="shared" si="101"/>
        <v>0.92213114754098358</v>
      </c>
      <c r="P1150" s="35">
        <f t="shared" si="102"/>
        <v>1.8442622950819672</v>
      </c>
    </row>
    <row r="1151" spans="12:16" ht="15" hidden="1" customHeight="1">
      <c r="L1151" s="43">
        <f t="shared" si="98"/>
        <v>45652</v>
      </c>
      <c r="M1151" s="35">
        <f t="shared" si="99"/>
        <v>0</v>
      </c>
      <c r="N1151" s="35">
        <f t="shared" si="100"/>
        <v>22500</v>
      </c>
      <c r="O1151" s="35">
        <f t="shared" si="101"/>
        <v>0.92213114754098358</v>
      </c>
      <c r="P1151" s="35">
        <f t="shared" si="102"/>
        <v>1.8442622950819672</v>
      </c>
    </row>
    <row r="1152" spans="12:16" ht="15" hidden="1" customHeight="1">
      <c r="L1152" s="43">
        <f t="shared" si="98"/>
        <v>45653</v>
      </c>
      <c r="M1152" s="35">
        <f t="shared" si="99"/>
        <v>0</v>
      </c>
      <c r="N1152" s="35">
        <f t="shared" si="100"/>
        <v>22500</v>
      </c>
      <c r="O1152" s="35">
        <f t="shared" si="101"/>
        <v>0.92213114754098358</v>
      </c>
      <c r="P1152" s="35">
        <f t="shared" si="102"/>
        <v>1.8442622950819672</v>
      </c>
    </row>
    <row r="1153" spans="12:16" ht="15" hidden="1" customHeight="1">
      <c r="L1153" s="43">
        <f t="shared" si="98"/>
        <v>45654</v>
      </c>
      <c r="M1153" s="35">
        <f t="shared" si="99"/>
        <v>0</v>
      </c>
      <c r="N1153" s="35">
        <f t="shared" si="100"/>
        <v>22500</v>
      </c>
      <c r="O1153" s="35">
        <f t="shared" si="101"/>
        <v>0.92213114754098358</v>
      </c>
      <c r="P1153" s="35">
        <f t="shared" si="102"/>
        <v>1.8442622950819672</v>
      </c>
    </row>
    <row r="1154" spans="12:16" ht="15" hidden="1" customHeight="1">
      <c r="L1154" s="43">
        <f t="shared" si="98"/>
        <v>45655</v>
      </c>
      <c r="M1154" s="35">
        <f t="shared" si="99"/>
        <v>0</v>
      </c>
      <c r="N1154" s="35">
        <f t="shared" si="100"/>
        <v>22500</v>
      </c>
      <c r="O1154" s="35">
        <f t="shared" si="101"/>
        <v>0.92213114754098358</v>
      </c>
      <c r="P1154" s="35">
        <f t="shared" si="102"/>
        <v>1.8442622950819672</v>
      </c>
    </row>
    <row r="1155" spans="12:16" ht="15" hidden="1" customHeight="1">
      <c r="L1155" s="43">
        <f t="shared" si="98"/>
        <v>45656</v>
      </c>
      <c r="M1155" s="35">
        <f t="shared" si="99"/>
        <v>0</v>
      </c>
      <c r="N1155" s="35">
        <f t="shared" si="100"/>
        <v>22500</v>
      </c>
      <c r="O1155" s="35">
        <f t="shared" si="101"/>
        <v>0.92213114754098358</v>
      </c>
      <c r="P1155" s="35">
        <f t="shared" si="102"/>
        <v>1.8442622950819672</v>
      </c>
    </row>
    <row r="1156" spans="12:16" ht="15" hidden="1" customHeight="1">
      <c r="L1156" s="43">
        <f t="shared" si="98"/>
        <v>45657</v>
      </c>
      <c r="M1156" s="35">
        <f t="shared" si="99"/>
        <v>0</v>
      </c>
      <c r="N1156" s="35">
        <f t="shared" si="100"/>
        <v>22500</v>
      </c>
      <c r="O1156" s="35">
        <f t="shared" si="101"/>
        <v>0.92213114754098358</v>
      </c>
      <c r="P1156" s="35">
        <f t="shared" si="102"/>
        <v>1.8442622950819672</v>
      </c>
    </row>
    <row r="1157" spans="12:16" ht="15" hidden="1" customHeight="1">
      <c r="L1157" s="43">
        <f t="shared" si="98"/>
        <v>45658</v>
      </c>
      <c r="M1157" s="35">
        <f t="shared" si="99"/>
        <v>0</v>
      </c>
      <c r="N1157" s="35">
        <f t="shared" si="100"/>
        <v>22500</v>
      </c>
      <c r="O1157" s="35">
        <f t="shared" si="101"/>
        <v>0.92465753424657537</v>
      </c>
      <c r="P1157" s="35">
        <f t="shared" si="102"/>
        <v>1.8493150684931507</v>
      </c>
    </row>
    <row r="1158" spans="12:16" ht="15" hidden="1" customHeight="1">
      <c r="L1158" s="43">
        <f t="shared" si="98"/>
        <v>45659</v>
      </c>
      <c r="M1158" s="35">
        <f t="shared" si="99"/>
        <v>0</v>
      </c>
      <c r="N1158" s="35">
        <f t="shared" si="100"/>
        <v>22500</v>
      </c>
      <c r="O1158" s="35">
        <f t="shared" si="101"/>
        <v>0.92465753424657537</v>
      </c>
      <c r="P1158" s="35">
        <f t="shared" si="102"/>
        <v>1.8493150684931507</v>
      </c>
    </row>
    <row r="1159" spans="12:16" ht="15" hidden="1" customHeight="1">
      <c r="L1159" s="43">
        <f t="shared" si="98"/>
        <v>45660</v>
      </c>
      <c r="M1159" s="35">
        <f t="shared" si="99"/>
        <v>0</v>
      </c>
      <c r="N1159" s="35">
        <f t="shared" si="100"/>
        <v>22500</v>
      </c>
      <c r="O1159" s="35">
        <f t="shared" si="101"/>
        <v>0.92465753424657537</v>
      </c>
      <c r="P1159" s="35">
        <f t="shared" si="102"/>
        <v>1.8493150684931507</v>
      </c>
    </row>
    <row r="1160" spans="12:16" ht="15" hidden="1" customHeight="1">
      <c r="L1160" s="43">
        <f t="shared" si="98"/>
        <v>45661</v>
      </c>
      <c r="M1160" s="35">
        <f t="shared" si="99"/>
        <v>0</v>
      </c>
      <c r="N1160" s="35">
        <f t="shared" si="100"/>
        <v>22500</v>
      </c>
      <c r="O1160" s="35">
        <f t="shared" si="101"/>
        <v>0.92465753424657537</v>
      </c>
      <c r="P1160" s="35">
        <f t="shared" si="102"/>
        <v>1.8493150684931507</v>
      </c>
    </row>
    <row r="1161" spans="12:16" ht="15" hidden="1" customHeight="1">
      <c r="L1161" s="43">
        <f t="shared" si="98"/>
        <v>45662</v>
      </c>
      <c r="M1161" s="35">
        <f t="shared" si="99"/>
        <v>0</v>
      </c>
      <c r="N1161" s="35">
        <f t="shared" si="100"/>
        <v>22500</v>
      </c>
      <c r="O1161" s="35">
        <f t="shared" si="101"/>
        <v>0.92465753424657537</v>
      </c>
      <c r="P1161" s="35">
        <f t="shared" si="102"/>
        <v>1.8493150684931507</v>
      </c>
    </row>
    <row r="1162" spans="12:16" ht="15" hidden="1" customHeight="1">
      <c r="L1162" s="43">
        <f t="shared" si="98"/>
        <v>45663</v>
      </c>
      <c r="M1162" s="35">
        <f t="shared" si="99"/>
        <v>0</v>
      </c>
      <c r="N1162" s="35">
        <f t="shared" si="100"/>
        <v>22500</v>
      </c>
      <c r="O1162" s="35">
        <f t="shared" si="101"/>
        <v>0.92465753424657537</v>
      </c>
      <c r="P1162" s="35">
        <f t="shared" si="102"/>
        <v>1.8493150684931507</v>
      </c>
    </row>
    <row r="1163" spans="12:16" ht="15" hidden="1" customHeight="1">
      <c r="L1163" s="43">
        <f t="shared" si="98"/>
        <v>45664</v>
      </c>
      <c r="M1163" s="35">
        <f t="shared" si="99"/>
        <v>0</v>
      </c>
      <c r="N1163" s="35">
        <f t="shared" si="100"/>
        <v>22500</v>
      </c>
      <c r="O1163" s="35">
        <f t="shared" si="101"/>
        <v>0.92465753424657537</v>
      </c>
      <c r="P1163" s="35">
        <f t="shared" si="102"/>
        <v>1.8493150684931507</v>
      </c>
    </row>
    <row r="1164" spans="12:16" ht="15" hidden="1" customHeight="1">
      <c r="L1164" s="43">
        <f t="shared" si="98"/>
        <v>45665</v>
      </c>
      <c r="M1164" s="35">
        <f t="shared" si="99"/>
        <v>0</v>
      </c>
      <c r="N1164" s="35">
        <f t="shared" si="100"/>
        <v>22500</v>
      </c>
      <c r="O1164" s="35">
        <f t="shared" si="101"/>
        <v>0.92465753424657537</v>
      </c>
      <c r="P1164" s="35">
        <f t="shared" si="102"/>
        <v>1.8493150684931507</v>
      </c>
    </row>
    <row r="1165" spans="12:16" ht="15" hidden="1" customHeight="1">
      <c r="L1165" s="43">
        <f t="shared" si="98"/>
        <v>45666</v>
      </c>
      <c r="M1165" s="35">
        <f t="shared" si="99"/>
        <v>0</v>
      </c>
      <c r="N1165" s="35">
        <f t="shared" si="100"/>
        <v>22500</v>
      </c>
      <c r="O1165" s="35">
        <f t="shared" si="101"/>
        <v>0.92465753424657537</v>
      </c>
      <c r="P1165" s="35">
        <f t="shared" si="102"/>
        <v>1.8493150684931507</v>
      </c>
    </row>
    <row r="1166" spans="12:16" ht="15" hidden="1" customHeight="1">
      <c r="L1166" s="43">
        <f t="shared" si="98"/>
        <v>45667</v>
      </c>
      <c r="M1166" s="35">
        <f t="shared" si="99"/>
        <v>0</v>
      </c>
      <c r="N1166" s="35">
        <f t="shared" si="100"/>
        <v>22500</v>
      </c>
      <c r="O1166" s="35">
        <f t="shared" si="101"/>
        <v>0.92465753424657537</v>
      </c>
      <c r="P1166" s="35">
        <f t="shared" si="102"/>
        <v>1.8493150684931507</v>
      </c>
    </row>
    <row r="1167" spans="12:16" ht="15" hidden="1" customHeight="1">
      <c r="L1167" s="43">
        <f t="shared" si="98"/>
        <v>45668</v>
      </c>
      <c r="M1167" s="35">
        <f t="shared" si="99"/>
        <v>0</v>
      </c>
      <c r="N1167" s="35">
        <f t="shared" si="100"/>
        <v>22500</v>
      </c>
      <c r="O1167" s="35">
        <f t="shared" si="101"/>
        <v>0.92465753424657537</v>
      </c>
      <c r="P1167" s="35">
        <f t="shared" si="102"/>
        <v>1.8493150684931507</v>
      </c>
    </row>
    <row r="1168" spans="12:16" ht="15" hidden="1" customHeight="1">
      <c r="L1168" s="43">
        <f t="shared" si="98"/>
        <v>45669</v>
      </c>
      <c r="M1168" s="35">
        <f t="shared" si="99"/>
        <v>0</v>
      </c>
      <c r="N1168" s="35">
        <f t="shared" si="100"/>
        <v>22500</v>
      </c>
      <c r="O1168" s="35">
        <f t="shared" si="101"/>
        <v>0.92465753424657537</v>
      </c>
      <c r="P1168" s="35">
        <f t="shared" si="102"/>
        <v>1.8493150684931507</v>
      </c>
    </row>
    <row r="1169" spans="12:16" ht="15" hidden="1" customHeight="1">
      <c r="L1169" s="43">
        <f t="shared" si="98"/>
        <v>45670</v>
      </c>
      <c r="M1169" s="35">
        <f t="shared" si="99"/>
        <v>0</v>
      </c>
      <c r="N1169" s="35">
        <f t="shared" si="100"/>
        <v>22500</v>
      </c>
      <c r="O1169" s="35">
        <f t="shared" si="101"/>
        <v>0.92465753424657537</v>
      </c>
      <c r="P1169" s="35">
        <f t="shared" si="102"/>
        <v>1.8493150684931507</v>
      </c>
    </row>
    <row r="1170" spans="12:16" ht="15" hidden="1" customHeight="1">
      <c r="L1170" s="43">
        <f t="shared" si="98"/>
        <v>45671</v>
      </c>
      <c r="M1170" s="35">
        <f t="shared" si="99"/>
        <v>0</v>
      </c>
      <c r="N1170" s="35">
        <f t="shared" si="100"/>
        <v>22500</v>
      </c>
      <c r="O1170" s="35">
        <f t="shared" si="101"/>
        <v>0.92465753424657537</v>
      </c>
      <c r="P1170" s="35">
        <f t="shared" si="102"/>
        <v>1.8493150684931507</v>
      </c>
    </row>
    <row r="1171" spans="12:16" ht="15" hidden="1" customHeight="1">
      <c r="L1171" s="43">
        <f t="shared" si="98"/>
        <v>45672</v>
      </c>
      <c r="M1171" s="35">
        <f t="shared" si="99"/>
        <v>2500</v>
      </c>
      <c r="N1171" s="35">
        <f t="shared" si="100"/>
        <v>20000</v>
      </c>
      <c r="O1171" s="35">
        <f t="shared" si="101"/>
        <v>0.92465753424657537</v>
      </c>
      <c r="P1171" s="35">
        <f t="shared" si="102"/>
        <v>1.8493150684931507</v>
      </c>
    </row>
    <row r="1172" spans="12:16" ht="15" hidden="1" customHeight="1">
      <c r="L1172" s="43">
        <f t="shared" si="98"/>
        <v>45673</v>
      </c>
      <c r="M1172" s="35">
        <f t="shared" si="99"/>
        <v>0</v>
      </c>
      <c r="N1172" s="35">
        <f t="shared" si="100"/>
        <v>20000</v>
      </c>
      <c r="O1172" s="35">
        <f t="shared" si="101"/>
        <v>0.82191780821917804</v>
      </c>
      <c r="P1172" s="35">
        <f t="shared" si="102"/>
        <v>1.6438356164383561</v>
      </c>
    </row>
    <row r="1173" spans="12:16" ht="15" hidden="1" customHeight="1">
      <c r="L1173" s="43">
        <f t="shared" si="98"/>
        <v>45674</v>
      </c>
      <c r="M1173" s="35">
        <f t="shared" si="99"/>
        <v>0</v>
      </c>
      <c r="N1173" s="35">
        <f t="shared" si="100"/>
        <v>20000</v>
      </c>
      <c r="O1173" s="35">
        <f t="shared" si="101"/>
        <v>0.82191780821917804</v>
      </c>
      <c r="P1173" s="35">
        <f t="shared" si="102"/>
        <v>1.6438356164383561</v>
      </c>
    </row>
    <row r="1174" spans="12:16" ht="15" hidden="1" customHeight="1">
      <c r="L1174" s="43">
        <f t="shared" si="98"/>
        <v>45675</v>
      </c>
      <c r="M1174" s="35">
        <f t="shared" si="99"/>
        <v>0</v>
      </c>
      <c r="N1174" s="35">
        <f t="shared" si="100"/>
        <v>20000</v>
      </c>
      <c r="O1174" s="35">
        <f t="shared" si="101"/>
        <v>0.82191780821917804</v>
      </c>
      <c r="P1174" s="35">
        <f t="shared" si="102"/>
        <v>1.6438356164383561</v>
      </c>
    </row>
    <row r="1175" spans="12:16" ht="15" hidden="1" customHeight="1">
      <c r="L1175" s="43">
        <f t="shared" si="98"/>
        <v>45676</v>
      </c>
      <c r="M1175" s="35">
        <f t="shared" si="99"/>
        <v>0</v>
      </c>
      <c r="N1175" s="35">
        <f t="shared" si="100"/>
        <v>20000</v>
      </c>
      <c r="O1175" s="35">
        <f t="shared" si="101"/>
        <v>0.82191780821917804</v>
      </c>
      <c r="P1175" s="35">
        <f t="shared" si="102"/>
        <v>1.6438356164383561</v>
      </c>
    </row>
    <row r="1176" spans="12:16" ht="15" hidden="1" customHeight="1">
      <c r="L1176" s="43">
        <f t="shared" si="98"/>
        <v>45677</v>
      </c>
      <c r="M1176" s="35">
        <f t="shared" si="99"/>
        <v>0</v>
      </c>
      <c r="N1176" s="35">
        <f t="shared" si="100"/>
        <v>20000</v>
      </c>
      <c r="O1176" s="35">
        <f t="shared" si="101"/>
        <v>0.82191780821917804</v>
      </c>
      <c r="P1176" s="35">
        <f t="shared" si="102"/>
        <v>1.6438356164383561</v>
      </c>
    </row>
    <row r="1177" spans="12:16" ht="15" hidden="1" customHeight="1">
      <c r="L1177" s="43">
        <f t="shared" si="98"/>
        <v>45678</v>
      </c>
      <c r="M1177" s="35">
        <f t="shared" si="99"/>
        <v>0</v>
      </c>
      <c r="N1177" s="35">
        <f t="shared" si="100"/>
        <v>20000</v>
      </c>
      <c r="O1177" s="35">
        <f t="shared" si="101"/>
        <v>0.82191780821917804</v>
      </c>
      <c r="P1177" s="35">
        <f t="shared" si="102"/>
        <v>1.6438356164383561</v>
      </c>
    </row>
    <row r="1178" spans="12:16" ht="15" hidden="1" customHeight="1">
      <c r="L1178" s="43">
        <f t="shared" si="98"/>
        <v>45679</v>
      </c>
      <c r="M1178" s="35">
        <f t="shared" si="99"/>
        <v>0</v>
      </c>
      <c r="N1178" s="35">
        <f t="shared" si="100"/>
        <v>20000</v>
      </c>
      <c r="O1178" s="35">
        <f t="shared" si="101"/>
        <v>0.82191780821917804</v>
      </c>
      <c r="P1178" s="35">
        <f t="shared" si="102"/>
        <v>1.6438356164383561</v>
      </c>
    </row>
    <row r="1179" spans="12:16" ht="15" hidden="1" customHeight="1">
      <c r="L1179" s="43">
        <f t="shared" si="98"/>
        <v>45680</v>
      </c>
      <c r="M1179" s="35">
        <f t="shared" si="99"/>
        <v>0</v>
      </c>
      <c r="N1179" s="35">
        <f t="shared" si="100"/>
        <v>20000</v>
      </c>
      <c r="O1179" s="35">
        <f t="shared" si="101"/>
        <v>0.82191780821917804</v>
      </c>
      <c r="P1179" s="35">
        <f t="shared" si="102"/>
        <v>1.6438356164383561</v>
      </c>
    </row>
    <row r="1180" spans="12:16" ht="15" hidden="1" customHeight="1">
      <c r="L1180" s="43">
        <f t="shared" si="98"/>
        <v>45681</v>
      </c>
      <c r="M1180" s="35">
        <f t="shared" si="99"/>
        <v>0</v>
      </c>
      <c r="N1180" s="35">
        <f t="shared" si="100"/>
        <v>20000</v>
      </c>
      <c r="O1180" s="35">
        <f t="shared" si="101"/>
        <v>0.82191780821917804</v>
      </c>
      <c r="P1180" s="35">
        <f t="shared" si="102"/>
        <v>1.6438356164383561</v>
      </c>
    </row>
    <row r="1181" spans="12:16" ht="15" hidden="1" customHeight="1">
      <c r="L1181" s="43">
        <f t="shared" si="98"/>
        <v>45682</v>
      </c>
      <c r="M1181" s="35">
        <f t="shared" si="99"/>
        <v>0</v>
      </c>
      <c r="N1181" s="35">
        <f t="shared" si="100"/>
        <v>20000</v>
      </c>
      <c r="O1181" s="35">
        <f t="shared" si="101"/>
        <v>0.82191780821917804</v>
      </c>
      <c r="P1181" s="35">
        <f t="shared" si="102"/>
        <v>1.6438356164383561</v>
      </c>
    </row>
    <row r="1182" spans="12:16" ht="15" hidden="1" customHeight="1">
      <c r="L1182" s="43">
        <f t="shared" si="98"/>
        <v>45683</v>
      </c>
      <c r="M1182" s="35">
        <f t="shared" si="99"/>
        <v>0</v>
      </c>
      <c r="N1182" s="35">
        <f t="shared" si="100"/>
        <v>20000</v>
      </c>
      <c r="O1182" s="35">
        <f t="shared" si="101"/>
        <v>0.82191780821917804</v>
      </c>
      <c r="P1182" s="35">
        <f t="shared" si="102"/>
        <v>1.6438356164383561</v>
      </c>
    </row>
    <row r="1183" spans="12:16" ht="15" hidden="1" customHeight="1">
      <c r="L1183" s="43">
        <f t="shared" ref="L1183:L1246" si="103">IFERROR(IF(MAX(L1182+1,Дата_получения_Займа+1)&gt;Дата_погашения_Займа,"-",MAX(L1182+1,Дата_получения_Займа+1)),"-")</f>
        <v>45684</v>
      </c>
      <c r="M1183" s="35">
        <f t="shared" ref="M1183:M1246" si="104">IFERROR(VLOOKUP(L1183,$B$31:$E$59,4,FALSE),0)</f>
        <v>0</v>
      </c>
      <c r="N1183" s="35">
        <f t="shared" ref="N1183:N1246" si="105">IF(ISNUMBER(N1182),N1182-M1183,$E$20)</f>
        <v>20000</v>
      </c>
      <c r="O1183" s="35">
        <f t="shared" ref="O1183:O1246" si="106">IFERROR(IF(ISNUMBER(N1182),N1182,$E$20)*IF(L1183&gt;=$J$20,$E$25,$E$24)/IF(MOD(YEAR(L1183),4),365,366)*IF(ISBLANK(L1182),L1183-$E$22,L1183-L1182),0)</f>
        <v>0.82191780821917804</v>
      </c>
      <c r="P1183" s="35">
        <f t="shared" ref="P1183:P1246" si="107">IFERROR(IF(ISNUMBER(N1182),N1182,$E$20)*3%/IF(MOD(YEAR(L1183),4),365,366)*IF(ISBLANK(L1182),(L1183-$E$22),L1183-L1182),0)</f>
        <v>1.6438356164383561</v>
      </c>
    </row>
    <row r="1184" spans="12:16" ht="15" hidden="1" customHeight="1">
      <c r="L1184" s="43">
        <f t="shared" si="103"/>
        <v>45685</v>
      </c>
      <c r="M1184" s="35">
        <f t="shared" si="104"/>
        <v>0</v>
      </c>
      <c r="N1184" s="35">
        <f t="shared" si="105"/>
        <v>20000</v>
      </c>
      <c r="O1184" s="35">
        <f t="shared" si="106"/>
        <v>0.82191780821917804</v>
      </c>
      <c r="P1184" s="35">
        <f t="shared" si="107"/>
        <v>1.6438356164383561</v>
      </c>
    </row>
    <row r="1185" spans="12:16" ht="15" hidden="1" customHeight="1">
      <c r="L1185" s="43">
        <f t="shared" si="103"/>
        <v>45686</v>
      </c>
      <c r="M1185" s="35">
        <f t="shared" si="104"/>
        <v>0</v>
      </c>
      <c r="N1185" s="35">
        <f t="shared" si="105"/>
        <v>20000</v>
      </c>
      <c r="O1185" s="35">
        <f t="shared" si="106"/>
        <v>0.82191780821917804</v>
      </c>
      <c r="P1185" s="35">
        <f t="shared" si="107"/>
        <v>1.6438356164383561</v>
      </c>
    </row>
    <row r="1186" spans="12:16" ht="15" hidden="1" customHeight="1">
      <c r="L1186" s="43">
        <f t="shared" si="103"/>
        <v>45687</v>
      </c>
      <c r="M1186" s="35">
        <f t="shared" si="104"/>
        <v>0</v>
      </c>
      <c r="N1186" s="35">
        <f t="shared" si="105"/>
        <v>20000</v>
      </c>
      <c r="O1186" s="35">
        <f t="shared" si="106"/>
        <v>0.82191780821917804</v>
      </c>
      <c r="P1186" s="35">
        <f t="shared" si="107"/>
        <v>1.6438356164383561</v>
      </c>
    </row>
    <row r="1187" spans="12:16" ht="15" hidden="1" customHeight="1">
      <c r="L1187" s="43">
        <f t="shared" si="103"/>
        <v>45688</v>
      </c>
      <c r="M1187" s="35">
        <f t="shared" si="104"/>
        <v>0</v>
      </c>
      <c r="N1187" s="35">
        <f t="shared" si="105"/>
        <v>20000</v>
      </c>
      <c r="O1187" s="35">
        <f t="shared" si="106"/>
        <v>0.82191780821917804</v>
      </c>
      <c r="P1187" s="35">
        <f t="shared" si="107"/>
        <v>1.6438356164383561</v>
      </c>
    </row>
    <row r="1188" spans="12:16" ht="15" hidden="1" customHeight="1">
      <c r="L1188" s="43">
        <f t="shared" si="103"/>
        <v>45689</v>
      </c>
      <c r="M1188" s="35">
        <f t="shared" si="104"/>
        <v>0</v>
      </c>
      <c r="N1188" s="35">
        <f t="shared" si="105"/>
        <v>20000</v>
      </c>
      <c r="O1188" s="35">
        <f t="shared" si="106"/>
        <v>0.82191780821917804</v>
      </c>
      <c r="P1188" s="35">
        <f t="shared" si="107"/>
        <v>1.6438356164383561</v>
      </c>
    </row>
    <row r="1189" spans="12:16" ht="15" hidden="1" customHeight="1">
      <c r="L1189" s="43">
        <f t="shared" si="103"/>
        <v>45690</v>
      </c>
      <c r="M1189" s="35">
        <f t="shared" si="104"/>
        <v>0</v>
      </c>
      <c r="N1189" s="35">
        <f t="shared" si="105"/>
        <v>20000</v>
      </c>
      <c r="O1189" s="35">
        <f t="shared" si="106"/>
        <v>0.82191780821917804</v>
      </c>
      <c r="P1189" s="35">
        <f t="shared" si="107"/>
        <v>1.6438356164383561</v>
      </c>
    </row>
    <row r="1190" spans="12:16" ht="15" hidden="1" customHeight="1">
      <c r="L1190" s="43">
        <f t="shared" si="103"/>
        <v>45691</v>
      </c>
      <c r="M1190" s="35">
        <f t="shared" si="104"/>
        <v>0</v>
      </c>
      <c r="N1190" s="35">
        <f t="shared" si="105"/>
        <v>20000</v>
      </c>
      <c r="O1190" s="35">
        <f t="shared" si="106"/>
        <v>0.82191780821917804</v>
      </c>
      <c r="P1190" s="35">
        <f t="shared" si="107"/>
        <v>1.6438356164383561</v>
      </c>
    </row>
    <row r="1191" spans="12:16" ht="15" hidden="1" customHeight="1">
      <c r="L1191" s="43">
        <f t="shared" si="103"/>
        <v>45692</v>
      </c>
      <c r="M1191" s="35">
        <f t="shared" si="104"/>
        <v>0</v>
      </c>
      <c r="N1191" s="35">
        <f t="shared" si="105"/>
        <v>20000</v>
      </c>
      <c r="O1191" s="35">
        <f t="shared" si="106"/>
        <v>0.82191780821917804</v>
      </c>
      <c r="P1191" s="35">
        <f t="shared" si="107"/>
        <v>1.6438356164383561</v>
      </c>
    </row>
    <row r="1192" spans="12:16" ht="15" hidden="1" customHeight="1">
      <c r="L1192" s="43">
        <f t="shared" si="103"/>
        <v>45693</v>
      </c>
      <c r="M1192" s="35">
        <f t="shared" si="104"/>
        <v>0</v>
      </c>
      <c r="N1192" s="35">
        <f t="shared" si="105"/>
        <v>20000</v>
      </c>
      <c r="O1192" s="35">
        <f t="shared" si="106"/>
        <v>0.82191780821917804</v>
      </c>
      <c r="P1192" s="35">
        <f t="shared" si="107"/>
        <v>1.6438356164383561</v>
      </c>
    </row>
    <row r="1193" spans="12:16" ht="15" hidden="1" customHeight="1">
      <c r="L1193" s="43">
        <f t="shared" si="103"/>
        <v>45694</v>
      </c>
      <c r="M1193" s="35">
        <f t="shared" si="104"/>
        <v>0</v>
      </c>
      <c r="N1193" s="35">
        <f t="shared" si="105"/>
        <v>20000</v>
      </c>
      <c r="O1193" s="35">
        <f t="shared" si="106"/>
        <v>0.82191780821917804</v>
      </c>
      <c r="P1193" s="35">
        <f t="shared" si="107"/>
        <v>1.6438356164383561</v>
      </c>
    </row>
    <row r="1194" spans="12:16" ht="15" hidden="1" customHeight="1">
      <c r="L1194" s="43">
        <f t="shared" si="103"/>
        <v>45695</v>
      </c>
      <c r="M1194" s="35">
        <f t="shared" si="104"/>
        <v>0</v>
      </c>
      <c r="N1194" s="35">
        <f t="shared" si="105"/>
        <v>20000</v>
      </c>
      <c r="O1194" s="35">
        <f t="shared" si="106"/>
        <v>0.82191780821917804</v>
      </c>
      <c r="P1194" s="35">
        <f t="shared" si="107"/>
        <v>1.6438356164383561</v>
      </c>
    </row>
    <row r="1195" spans="12:16" ht="15" hidden="1" customHeight="1">
      <c r="L1195" s="43">
        <f t="shared" si="103"/>
        <v>45696</v>
      </c>
      <c r="M1195" s="35">
        <f t="shared" si="104"/>
        <v>0</v>
      </c>
      <c r="N1195" s="35">
        <f t="shared" si="105"/>
        <v>20000</v>
      </c>
      <c r="O1195" s="35">
        <f t="shared" si="106"/>
        <v>0.82191780821917804</v>
      </c>
      <c r="P1195" s="35">
        <f t="shared" si="107"/>
        <v>1.6438356164383561</v>
      </c>
    </row>
    <row r="1196" spans="12:16" ht="15" hidden="1" customHeight="1">
      <c r="L1196" s="43">
        <f t="shared" si="103"/>
        <v>45697</v>
      </c>
      <c r="M1196" s="35">
        <f t="shared" si="104"/>
        <v>0</v>
      </c>
      <c r="N1196" s="35">
        <f t="shared" si="105"/>
        <v>20000</v>
      </c>
      <c r="O1196" s="35">
        <f t="shared" si="106"/>
        <v>0.82191780821917804</v>
      </c>
      <c r="P1196" s="35">
        <f t="shared" si="107"/>
        <v>1.6438356164383561</v>
      </c>
    </row>
    <row r="1197" spans="12:16" ht="15" hidden="1" customHeight="1">
      <c r="L1197" s="43">
        <f t="shared" si="103"/>
        <v>45698</v>
      </c>
      <c r="M1197" s="35">
        <f t="shared" si="104"/>
        <v>0</v>
      </c>
      <c r="N1197" s="35">
        <f t="shared" si="105"/>
        <v>20000</v>
      </c>
      <c r="O1197" s="35">
        <f t="shared" si="106"/>
        <v>0.82191780821917804</v>
      </c>
      <c r="P1197" s="35">
        <f t="shared" si="107"/>
        <v>1.6438356164383561</v>
      </c>
    </row>
    <row r="1198" spans="12:16" ht="15" hidden="1" customHeight="1">
      <c r="L1198" s="43">
        <f t="shared" si="103"/>
        <v>45699</v>
      </c>
      <c r="M1198" s="35">
        <f t="shared" si="104"/>
        <v>0</v>
      </c>
      <c r="N1198" s="35">
        <f t="shared" si="105"/>
        <v>20000</v>
      </c>
      <c r="O1198" s="35">
        <f t="shared" si="106"/>
        <v>0.82191780821917804</v>
      </c>
      <c r="P1198" s="35">
        <f t="shared" si="107"/>
        <v>1.6438356164383561</v>
      </c>
    </row>
    <row r="1199" spans="12:16" ht="15" hidden="1" customHeight="1">
      <c r="L1199" s="43">
        <f t="shared" si="103"/>
        <v>45700</v>
      </c>
      <c r="M1199" s="35">
        <f t="shared" si="104"/>
        <v>0</v>
      </c>
      <c r="N1199" s="35">
        <f t="shared" si="105"/>
        <v>20000</v>
      </c>
      <c r="O1199" s="35">
        <f t="shared" si="106"/>
        <v>0.82191780821917804</v>
      </c>
      <c r="P1199" s="35">
        <f t="shared" si="107"/>
        <v>1.6438356164383561</v>
      </c>
    </row>
    <row r="1200" spans="12:16" ht="15" hidden="1" customHeight="1">
      <c r="L1200" s="43">
        <f t="shared" si="103"/>
        <v>45701</v>
      </c>
      <c r="M1200" s="35">
        <f t="shared" si="104"/>
        <v>0</v>
      </c>
      <c r="N1200" s="35">
        <f t="shared" si="105"/>
        <v>20000</v>
      </c>
      <c r="O1200" s="35">
        <f t="shared" si="106"/>
        <v>0.82191780821917804</v>
      </c>
      <c r="P1200" s="35">
        <f t="shared" si="107"/>
        <v>1.6438356164383561</v>
      </c>
    </row>
    <row r="1201" spans="12:16" ht="15" hidden="1" customHeight="1">
      <c r="L1201" s="43">
        <f t="shared" si="103"/>
        <v>45702</v>
      </c>
      <c r="M1201" s="35">
        <f t="shared" si="104"/>
        <v>0</v>
      </c>
      <c r="N1201" s="35">
        <f t="shared" si="105"/>
        <v>20000</v>
      </c>
      <c r="O1201" s="35">
        <f t="shared" si="106"/>
        <v>0.82191780821917804</v>
      </c>
      <c r="P1201" s="35">
        <f t="shared" si="107"/>
        <v>1.6438356164383561</v>
      </c>
    </row>
    <row r="1202" spans="12:16" ht="15" hidden="1" customHeight="1">
      <c r="L1202" s="43">
        <f t="shared" si="103"/>
        <v>45703</v>
      </c>
      <c r="M1202" s="35">
        <f t="shared" si="104"/>
        <v>0</v>
      </c>
      <c r="N1202" s="35">
        <f t="shared" si="105"/>
        <v>20000</v>
      </c>
      <c r="O1202" s="35">
        <f t="shared" si="106"/>
        <v>0.82191780821917804</v>
      </c>
      <c r="P1202" s="35">
        <f t="shared" si="107"/>
        <v>1.6438356164383561</v>
      </c>
    </row>
    <row r="1203" spans="12:16" ht="15" hidden="1" customHeight="1">
      <c r="L1203" s="43">
        <f t="shared" si="103"/>
        <v>45704</v>
      </c>
      <c r="M1203" s="35">
        <f t="shared" si="104"/>
        <v>0</v>
      </c>
      <c r="N1203" s="35">
        <f t="shared" si="105"/>
        <v>20000</v>
      </c>
      <c r="O1203" s="35">
        <f t="shared" si="106"/>
        <v>0.82191780821917804</v>
      </c>
      <c r="P1203" s="35">
        <f t="shared" si="107"/>
        <v>1.6438356164383561</v>
      </c>
    </row>
    <row r="1204" spans="12:16" ht="15" hidden="1" customHeight="1">
      <c r="L1204" s="43">
        <f t="shared" si="103"/>
        <v>45705</v>
      </c>
      <c r="M1204" s="35">
        <f t="shared" si="104"/>
        <v>0</v>
      </c>
      <c r="N1204" s="35">
        <f t="shared" si="105"/>
        <v>20000</v>
      </c>
      <c r="O1204" s="35">
        <f t="shared" si="106"/>
        <v>0.82191780821917804</v>
      </c>
      <c r="P1204" s="35">
        <f t="shared" si="107"/>
        <v>1.6438356164383561</v>
      </c>
    </row>
    <row r="1205" spans="12:16" ht="15" hidden="1" customHeight="1">
      <c r="L1205" s="43">
        <f t="shared" si="103"/>
        <v>45706</v>
      </c>
      <c r="M1205" s="35">
        <f t="shared" si="104"/>
        <v>0</v>
      </c>
      <c r="N1205" s="35">
        <f t="shared" si="105"/>
        <v>20000</v>
      </c>
      <c r="O1205" s="35">
        <f t="shared" si="106"/>
        <v>0.82191780821917804</v>
      </c>
      <c r="P1205" s="35">
        <f t="shared" si="107"/>
        <v>1.6438356164383561</v>
      </c>
    </row>
    <row r="1206" spans="12:16" ht="15" hidden="1" customHeight="1">
      <c r="L1206" s="43">
        <f t="shared" si="103"/>
        <v>45707</v>
      </c>
      <c r="M1206" s="35">
        <f t="shared" si="104"/>
        <v>0</v>
      </c>
      <c r="N1206" s="35">
        <f t="shared" si="105"/>
        <v>20000</v>
      </c>
      <c r="O1206" s="35">
        <f t="shared" si="106"/>
        <v>0.82191780821917804</v>
      </c>
      <c r="P1206" s="35">
        <f t="shared" si="107"/>
        <v>1.6438356164383561</v>
      </c>
    </row>
    <row r="1207" spans="12:16" ht="15" hidden="1" customHeight="1">
      <c r="L1207" s="43">
        <f t="shared" si="103"/>
        <v>45708</v>
      </c>
      <c r="M1207" s="35">
        <f t="shared" si="104"/>
        <v>0</v>
      </c>
      <c r="N1207" s="35">
        <f t="shared" si="105"/>
        <v>20000</v>
      </c>
      <c r="O1207" s="35">
        <f t="shared" si="106"/>
        <v>0.82191780821917804</v>
      </c>
      <c r="P1207" s="35">
        <f t="shared" si="107"/>
        <v>1.6438356164383561</v>
      </c>
    </row>
    <row r="1208" spans="12:16" ht="15" hidden="1" customHeight="1">
      <c r="L1208" s="43">
        <f t="shared" si="103"/>
        <v>45709</v>
      </c>
      <c r="M1208" s="35">
        <f t="shared" si="104"/>
        <v>0</v>
      </c>
      <c r="N1208" s="35">
        <f t="shared" si="105"/>
        <v>20000</v>
      </c>
      <c r="O1208" s="35">
        <f t="shared" si="106"/>
        <v>0.82191780821917804</v>
      </c>
      <c r="P1208" s="35">
        <f t="shared" si="107"/>
        <v>1.6438356164383561</v>
      </c>
    </row>
    <row r="1209" spans="12:16" ht="15" hidden="1" customHeight="1">
      <c r="L1209" s="43">
        <f t="shared" si="103"/>
        <v>45710</v>
      </c>
      <c r="M1209" s="35">
        <f t="shared" si="104"/>
        <v>0</v>
      </c>
      <c r="N1209" s="35">
        <f t="shared" si="105"/>
        <v>20000</v>
      </c>
      <c r="O1209" s="35">
        <f t="shared" si="106"/>
        <v>0.82191780821917804</v>
      </c>
      <c r="P1209" s="35">
        <f t="shared" si="107"/>
        <v>1.6438356164383561</v>
      </c>
    </row>
    <row r="1210" spans="12:16" ht="15" hidden="1" customHeight="1">
      <c r="L1210" s="43">
        <f t="shared" si="103"/>
        <v>45711</v>
      </c>
      <c r="M1210" s="35">
        <f t="shared" si="104"/>
        <v>0</v>
      </c>
      <c r="N1210" s="35">
        <f t="shared" si="105"/>
        <v>20000</v>
      </c>
      <c r="O1210" s="35">
        <f t="shared" si="106"/>
        <v>0.82191780821917804</v>
      </c>
      <c r="P1210" s="35">
        <f t="shared" si="107"/>
        <v>1.6438356164383561</v>
      </c>
    </row>
    <row r="1211" spans="12:16" ht="15" hidden="1" customHeight="1">
      <c r="L1211" s="43">
        <f t="shared" si="103"/>
        <v>45712</v>
      </c>
      <c r="M1211" s="35">
        <f t="shared" si="104"/>
        <v>0</v>
      </c>
      <c r="N1211" s="35">
        <f t="shared" si="105"/>
        <v>20000</v>
      </c>
      <c r="O1211" s="35">
        <f t="shared" si="106"/>
        <v>0.82191780821917804</v>
      </c>
      <c r="P1211" s="35">
        <f t="shared" si="107"/>
        <v>1.6438356164383561</v>
      </c>
    </row>
    <row r="1212" spans="12:16" ht="15" hidden="1" customHeight="1">
      <c r="L1212" s="43">
        <f t="shared" si="103"/>
        <v>45713</v>
      </c>
      <c r="M1212" s="35">
        <f t="shared" si="104"/>
        <v>0</v>
      </c>
      <c r="N1212" s="35">
        <f t="shared" si="105"/>
        <v>20000</v>
      </c>
      <c r="O1212" s="35">
        <f t="shared" si="106"/>
        <v>0.82191780821917804</v>
      </c>
      <c r="P1212" s="35">
        <f t="shared" si="107"/>
        <v>1.6438356164383561</v>
      </c>
    </row>
    <row r="1213" spans="12:16" ht="15" hidden="1" customHeight="1">
      <c r="L1213" s="43">
        <f t="shared" si="103"/>
        <v>45714</v>
      </c>
      <c r="M1213" s="35">
        <f t="shared" si="104"/>
        <v>0</v>
      </c>
      <c r="N1213" s="35">
        <f t="shared" si="105"/>
        <v>20000</v>
      </c>
      <c r="O1213" s="35">
        <f t="shared" si="106"/>
        <v>0.82191780821917804</v>
      </c>
      <c r="P1213" s="35">
        <f t="shared" si="107"/>
        <v>1.6438356164383561</v>
      </c>
    </row>
    <row r="1214" spans="12:16" ht="15" hidden="1" customHeight="1">
      <c r="L1214" s="43">
        <f t="shared" si="103"/>
        <v>45715</v>
      </c>
      <c r="M1214" s="35">
        <f t="shared" si="104"/>
        <v>0</v>
      </c>
      <c r="N1214" s="35">
        <f t="shared" si="105"/>
        <v>20000</v>
      </c>
      <c r="O1214" s="35">
        <f t="shared" si="106"/>
        <v>0.82191780821917804</v>
      </c>
      <c r="P1214" s="35">
        <f t="shared" si="107"/>
        <v>1.6438356164383561</v>
      </c>
    </row>
    <row r="1215" spans="12:16" ht="15" hidden="1" customHeight="1">
      <c r="L1215" s="43">
        <f t="shared" si="103"/>
        <v>45716</v>
      </c>
      <c r="M1215" s="35">
        <f t="shared" si="104"/>
        <v>0</v>
      </c>
      <c r="N1215" s="35">
        <f t="shared" si="105"/>
        <v>20000</v>
      </c>
      <c r="O1215" s="35">
        <f t="shared" si="106"/>
        <v>0.82191780821917804</v>
      </c>
      <c r="P1215" s="35">
        <f t="shared" si="107"/>
        <v>1.6438356164383561</v>
      </c>
    </row>
    <row r="1216" spans="12:16" ht="15" hidden="1" customHeight="1">
      <c r="L1216" s="43">
        <f t="shared" si="103"/>
        <v>45717</v>
      </c>
      <c r="M1216" s="35">
        <f t="shared" si="104"/>
        <v>0</v>
      </c>
      <c r="N1216" s="35">
        <f t="shared" si="105"/>
        <v>20000</v>
      </c>
      <c r="O1216" s="35">
        <f t="shared" si="106"/>
        <v>0.82191780821917804</v>
      </c>
      <c r="P1216" s="35">
        <f t="shared" si="107"/>
        <v>1.6438356164383561</v>
      </c>
    </row>
    <row r="1217" spans="12:16" ht="15" hidden="1" customHeight="1">
      <c r="L1217" s="43">
        <f t="shared" si="103"/>
        <v>45718</v>
      </c>
      <c r="M1217" s="35">
        <f t="shared" si="104"/>
        <v>0</v>
      </c>
      <c r="N1217" s="35">
        <f t="shared" si="105"/>
        <v>20000</v>
      </c>
      <c r="O1217" s="35">
        <f t="shared" si="106"/>
        <v>0.82191780821917804</v>
      </c>
      <c r="P1217" s="35">
        <f t="shared" si="107"/>
        <v>1.6438356164383561</v>
      </c>
    </row>
    <row r="1218" spans="12:16" ht="15" hidden="1" customHeight="1">
      <c r="L1218" s="43">
        <f t="shared" si="103"/>
        <v>45719</v>
      </c>
      <c r="M1218" s="35">
        <f t="shared" si="104"/>
        <v>0</v>
      </c>
      <c r="N1218" s="35">
        <f t="shared" si="105"/>
        <v>20000</v>
      </c>
      <c r="O1218" s="35">
        <f t="shared" si="106"/>
        <v>0.82191780821917804</v>
      </c>
      <c r="P1218" s="35">
        <f t="shared" si="107"/>
        <v>1.6438356164383561</v>
      </c>
    </row>
    <row r="1219" spans="12:16" ht="15" hidden="1" customHeight="1">
      <c r="L1219" s="43">
        <f t="shared" si="103"/>
        <v>45720</v>
      </c>
      <c r="M1219" s="35">
        <f t="shared" si="104"/>
        <v>0</v>
      </c>
      <c r="N1219" s="35">
        <f t="shared" si="105"/>
        <v>20000</v>
      </c>
      <c r="O1219" s="35">
        <f t="shared" si="106"/>
        <v>0.82191780821917804</v>
      </c>
      <c r="P1219" s="35">
        <f t="shared" si="107"/>
        <v>1.6438356164383561</v>
      </c>
    </row>
    <row r="1220" spans="12:16" ht="15" hidden="1" customHeight="1">
      <c r="L1220" s="43">
        <f t="shared" si="103"/>
        <v>45721</v>
      </c>
      <c r="M1220" s="35">
        <f t="shared" si="104"/>
        <v>0</v>
      </c>
      <c r="N1220" s="35">
        <f t="shared" si="105"/>
        <v>20000</v>
      </c>
      <c r="O1220" s="35">
        <f t="shared" si="106"/>
        <v>0.82191780821917804</v>
      </c>
      <c r="P1220" s="35">
        <f t="shared" si="107"/>
        <v>1.6438356164383561</v>
      </c>
    </row>
    <row r="1221" spans="12:16" ht="15" hidden="1" customHeight="1">
      <c r="L1221" s="43">
        <f t="shared" si="103"/>
        <v>45722</v>
      </c>
      <c r="M1221" s="35">
        <f t="shared" si="104"/>
        <v>0</v>
      </c>
      <c r="N1221" s="35">
        <f t="shared" si="105"/>
        <v>20000</v>
      </c>
      <c r="O1221" s="35">
        <f t="shared" si="106"/>
        <v>0.82191780821917804</v>
      </c>
      <c r="P1221" s="35">
        <f t="shared" si="107"/>
        <v>1.6438356164383561</v>
      </c>
    </row>
    <row r="1222" spans="12:16" ht="15" hidden="1" customHeight="1">
      <c r="L1222" s="43">
        <f t="shared" si="103"/>
        <v>45723</v>
      </c>
      <c r="M1222" s="35">
        <f t="shared" si="104"/>
        <v>0</v>
      </c>
      <c r="N1222" s="35">
        <f t="shared" si="105"/>
        <v>20000</v>
      </c>
      <c r="O1222" s="35">
        <f t="shared" si="106"/>
        <v>0.82191780821917804</v>
      </c>
      <c r="P1222" s="35">
        <f t="shared" si="107"/>
        <v>1.6438356164383561</v>
      </c>
    </row>
    <row r="1223" spans="12:16" ht="15" hidden="1" customHeight="1">
      <c r="L1223" s="43">
        <f t="shared" si="103"/>
        <v>45724</v>
      </c>
      <c r="M1223" s="35">
        <f t="shared" si="104"/>
        <v>0</v>
      </c>
      <c r="N1223" s="35">
        <f t="shared" si="105"/>
        <v>20000</v>
      </c>
      <c r="O1223" s="35">
        <f t="shared" si="106"/>
        <v>0.82191780821917804</v>
      </c>
      <c r="P1223" s="35">
        <f t="shared" si="107"/>
        <v>1.6438356164383561</v>
      </c>
    </row>
    <row r="1224" spans="12:16" ht="15" hidden="1" customHeight="1">
      <c r="L1224" s="43">
        <f t="shared" si="103"/>
        <v>45725</v>
      </c>
      <c r="M1224" s="35">
        <f t="shared" si="104"/>
        <v>0</v>
      </c>
      <c r="N1224" s="35">
        <f t="shared" si="105"/>
        <v>20000</v>
      </c>
      <c r="O1224" s="35">
        <f t="shared" si="106"/>
        <v>0.82191780821917804</v>
      </c>
      <c r="P1224" s="35">
        <f t="shared" si="107"/>
        <v>1.6438356164383561</v>
      </c>
    </row>
    <row r="1225" spans="12:16" ht="15" hidden="1" customHeight="1">
      <c r="L1225" s="43">
        <f t="shared" si="103"/>
        <v>45726</v>
      </c>
      <c r="M1225" s="35">
        <f t="shared" si="104"/>
        <v>0</v>
      </c>
      <c r="N1225" s="35">
        <f t="shared" si="105"/>
        <v>20000</v>
      </c>
      <c r="O1225" s="35">
        <f t="shared" si="106"/>
        <v>0.82191780821917804</v>
      </c>
      <c r="P1225" s="35">
        <f t="shared" si="107"/>
        <v>1.6438356164383561</v>
      </c>
    </row>
    <row r="1226" spans="12:16" ht="15" hidden="1" customHeight="1">
      <c r="L1226" s="43">
        <f t="shared" si="103"/>
        <v>45727</v>
      </c>
      <c r="M1226" s="35">
        <f t="shared" si="104"/>
        <v>0</v>
      </c>
      <c r="N1226" s="35">
        <f t="shared" si="105"/>
        <v>20000</v>
      </c>
      <c r="O1226" s="35">
        <f t="shared" si="106"/>
        <v>0.82191780821917804</v>
      </c>
      <c r="P1226" s="35">
        <f t="shared" si="107"/>
        <v>1.6438356164383561</v>
      </c>
    </row>
    <row r="1227" spans="12:16" ht="15" hidden="1" customHeight="1">
      <c r="L1227" s="43">
        <f t="shared" si="103"/>
        <v>45728</v>
      </c>
      <c r="M1227" s="35">
        <f t="shared" si="104"/>
        <v>0</v>
      </c>
      <c r="N1227" s="35">
        <f t="shared" si="105"/>
        <v>20000</v>
      </c>
      <c r="O1227" s="35">
        <f t="shared" si="106"/>
        <v>0.82191780821917804</v>
      </c>
      <c r="P1227" s="35">
        <f t="shared" si="107"/>
        <v>1.6438356164383561</v>
      </c>
    </row>
    <row r="1228" spans="12:16" ht="15" hidden="1" customHeight="1">
      <c r="L1228" s="43">
        <f t="shared" si="103"/>
        <v>45729</v>
      </c>
      <c r="M1228" s="35">
        <f t="shared" si="104"/>
        <v>0</v>
      </c>
      <c r="N1228" s="35">
        <f t="shared" si="105"/>
        <v>20000</v>
      </c>
      <c r="O1228" s="35">
        <f t="shared" si="106"/>
        <v>0.82191780821917804</v>
      </c>
      <c r="P1228" s="35">
        <f t="shared" si="107"/>
        <v>1.6438356164383561</v>
      </c>
    </row>
    <row r="1229" spans="12:16" ht="15" hidden="1" customHeight="1">
      <c r="L1229" s="43">
        <f t="shared" si="103"/>
        <v>45730</v>
      </c>
      <c r="M1229" s="35">
        <f t="shared" si="104"/>
        <v>0</v>
      </c>
      <c r="N1229" s="35">
        <f t="shared" si="105"/>
        <v>20000</v>
      </c>
      <c r="O1229" s="35">
        <f t="shared" si="106"/>
        <v>0.82191780821917804</v>
      </c>
      <c r="P1229" s="35">
        <f t="shared" si="107"/>
        <v>1.6438356164383561</v>
      </c>
    </row>
    <row r="1230" spans="12:16" ht="15" hidden="1" customHeight="1">
      <c r="L1230" s="43">
        <f t="shared" si="103"/>
        <v>45731</v>
      </c>
      <c r="M1230" s="35">
        <f t="shared" si="104"/>
        <v>0</v>
      </c>
      <c r="N1230" s="35">
        <f t="shared" si="105"/>
        <v>20000</v>
      </c>
      <c r="O1230" s="35">
        <f t="shared" si="106"/>
        <v>0.82191780821917804</v>
      </c>
      <c r="P1230" s="35">
        <f t="shared" si="107"/>
        <v>1.6438356164383561</v>
      </c>
    </row>
    <row r="1231" spans="12:16" ht="15" hidden="1" customHeight="1">
      <c r="L1231" s="43">
        <f t="shared" si="103"/>
        <v>45732</v>
      </c>
      <c r="M1231" s="35">
        <f t="shared" si="104"/>
        <v>0</v>
      </c>
      <c r="N1231" s="35">
        <f t="shared" si="105"/>
        <v>20000</v>
      </c>
      <c r="O1231" s="35">
        <f t="shared" si="106"/>
        <v>0.82191780821917804</v>
      </c>
      <c r="P1231" s="35">
        <f t="shared" si="107"/>
        <v>1.6438356164383561</v>
      </c>
    </row>
    <row r="1232" spans="12:16" ht="15" hidden="1" customHeight="1">
      <c r="L1232" s="43">
        <f t="shared" si="103"/>
        <v>45733</v>
      </c>
      <c r="M1232" s="35">
        <f t="shared" si="104"/>
        <v>0</v>
      </c>
      <c r="N1232" s="35">
        <f t="shared" si="105"/>
        <v>20000</v>
      </c>
      <c r="O1232" s="35">
        <f t="shared" si="106"/>
        <v>0.82191780821917804</v>
      </c>
      <c r="P1232" s="35">
        <f t="shared" si="107"/>
        <v>1.6438356164383561</v>
      </c>
    </row>
    <row r="1233" spans="12:16" ht="15" hidden="1" customHeight="1">
      <c r="L1233" s="43">
        <f t="shared" si="103"/>
        <v>45734</v>
      </c>
      <c r="M1233" s="35">
        <f t="shared" si="104"/>
        <v>0</v>
      </c>
      <c r="N1233" s="35">
        <f t="shared" si="105"/>
        <v>20000</v>
      </c>
      <c r="O1233" s="35">
        <f t="shared" si="106"/>
        <v>0.82191780821917804</v>
      </c>
      <c r="P1233" s="35">
        <f t="shared" si="107"/>
        <v>1.6438356164383561</v>
      </c>
    </row>
    <row r="1234" spans="12:16" ht="15" hidden="1" customHeight="1">
      <c r="L1234" s="43">
        <f t="shared" si="103"/>
        <v>45735</v>
      </c>
      <c r="M1234" s="35">
        <f t="shared" si="104"/>
        <v>0</v>
      </c>
      <c r="N1234" s="35">
        <f t="shared" si="105"/>
        <v>20000</v>
      </c>
      <c r="O1234" s="35">
        <f t="shared" si="106"/>
        <v>0.82191780821917804</v>
      </c>
      <c r="P1234" s="35">
        <f t="shared" si="107"/>
        <v>1.6438356164383561</v>
      </c>
    </row>
    <row r="1235" spans="12:16" ht="15" hidden="1" customHeight="1">
      <c r="L1235" s="43">
        <f t="shared" si="103"/>
        <v>45736</v>
      </c>
      <c r="M1235" s="35">
        <f t="shared" si="104"/>
        <v>0</v>
      </c>
      <c r="N1235" s="35">
        <f t="shared" si="105"/>
        <v>20000</v>
      </c>
      <c r="O1235" s="35">
        <f t="shared" si="106"/>
        <v>0.82191780821917804</v>
      </c>
      <c r="P1235" s="35">
        <f t="shared" si="107"/>
        <v>1.6438356164383561</v>
      </c>
    </row>
    <row r="1236" spans="12:16" ht="15" hidden="1" customHeight="1">
      <c r="L1236" s="43">
        <f t="shared" si="103"/>
        <v>45737</v>
      </c>
      <c r="M1236" s="35">
        <f t="shared" si="104"/>
        <v>0</v>
      </c>
      <c r="N1236" s="35">
        <f t="shared" si="105"/>
        <v>20000</v>
      </c>
      <c r="O1236" s="35">
        <f t="shared" si="106"/>
        <v>0.82191780821917804</v>
      </c>
      <c r="P1236" s="35">
        <f t="shared" si="107"/>
        <v>1.6438356164383561</v>
      </c>
    </row>
    <row r="1237" spans="12:16" ht="15" hidden="1" customHeight="1">
      <c r="L1237" s="43">
        <f t="shared" si="103"/>
        <v>45738</v>
      </c>
      <c r="M1237" s="35">
        <f t="shared" si="104"/>
        <v>0</v>
      </c>
      <c r="N1237" s="35">
        <f t="shared" si="105"/>
        <v>20000</v>
      </c>
      <c r="O1237" s="35">
        <f t="shared" si="106"/>
        <v>0.82191780821917804</v>
      </c>
      <c r="P1237" s="35">
        <f t="shared" si="107"/>
        <v>1.6438356164383561</v>
      </c>
    </row>
    <row r="1238" spans="12:16" ht="15" hidden="1" customHeight="1">
      <c r="L1238" s="43">
        <f t="shared" si="103"/>
        <v>45739</v>
      </c>
      <c r="M1238" s="35">
        <f t="shared" si="104"/>
        <v>0</v>
      </c>
      <c r="N1238" s="35">
        <f t="shared" si="105"/>
        <v>20000</v>
      </c>
      <c r="O1238" s="35">
        <f t="shared" si="106"/>
        <v>0.82191780821917804</v>
      </c>
      <c r="P1238" s="35">
        <f t="shared" si="107"/>
        <v>1.6438356164383561</v>
      </c>
    </row>
    <row r="1239" spans="12:16" ht="15" hidden="1" customHeight="1">
      <c r="L1239" s="43">
        <f t="shared" si="103"/>
        <v>45740</v>
      </c>
      <c r="M1239" s="35">
        <f t="shared" si="104"/>
        <v>0</v>
      </c>
      <c r="N1239" s="35">
        <f t="shared" si="105"/>
        <v>20000</v>
      </c>
      <c r="O1239" s="35">
        <f t="shared" si="106"/>
        <v>0.82191780821917804</v>
      </c>
      <c r="P1239" s="35">
        <f t="shared" si="107"/>
        <v>1.6438356164383561</v>
      </c>
    </row>
    <row r="1240" spans="12:16" ht="15" hidden="1" customHeight="1">
      <c r="L1240" s="43">
        <f t="shared" si="103"/>
        <v>45741</v>
      </c>
      <c r="M1240" s="35">
        <f t="shared" si="104"/>
        <v>0</v>
      </c>
      <c r="N1240" s="35">
        <f t="shared" si="105"/>
        <v>20000</v>
      </c>
      <c r="O1240" s="35">
        <f t="shared" si="106"/>
        <v>0.82191780821917804</v>
      </c>
      <c r="P1240" s="35">
        <f t="shared" si="107"/>
        <v>1.6438356164383561</v>
      </c>
    </row>
    <row r="1241" spans="12:16" ht="15" hidden="1" customHeight="1">
      <c r="L1241" s="43">
        <f t="shared" si="103"/>
        <v>45742</v>
      </c>
      <c r="M1241" s="35">
        <f t="shared" si="104"/>
        <v>0</v>
      </c>
      <c r="N1241" s="35">
        <f t="shared" si="105"/>
        <v>20000</v>
      </c>
      <c r="O1241" s="35">
        <f t="shared" si="106"/>
        <v>0.82191780821917804</v>
      </c>
      <c r="P1241" s="35">
        <f t="shared" si="107"/>
        <v>1.6438356164383561</v>
      </c>
    </row>
    <row r="1242" spans="12:16" ht="15" hidden="1" customHeight="1">
      <c r="L1242" s="43">
        <f t="shared" si="103"/>
        <v>45743</v>
      </c>
      <c r="M1242" s="35">
        <f t="shared" si="104"/>
        <v>0</v>
      </c>
      <c r="N1242" s="35">
        <f t="shared" si="105"/>
        <v>20000</v>
      </c>
      <c r="O1242" s="35">
        <f t="shared" si="106"/>
        <v>0.82191780821917804</v>
      </c>
      <c r="P1242" s="35">
        <f t="shared" si="107"/>
        <v>1.6438356164383561</v>
      </c>
    </row>
    <row r="1243" spans="12:16" ht="15" hidden="1" customHeight="1">
      <c r="L1243" s="43">
        <f t="shared" si="103"/>
        <v>45744</v>
      </c>
      <c r="M1243" s="35">
        <f t="shared" si="104"/>
        <v>0</v>
      </c>
      <c r="N1243" s="35">
        <f t="shared" si="105"/>
        <v>20000</v>
      </c>
      <c r="O1243" s="35">
        <f t="shared" si="106"/>
        <v>0.82191780821917804</v>
      </c>
      <c r="P1243" s="35">
        <f t="shared" si="107"/>
        <v>1.6438356164383561</v>
      </c>
    </row>
    <row r="1244" spans="12:16" ht="15" hidden="1" customHeight="1">
      <c r="L1244" s="43">
        <f t="shared" si="103"/>
        <v>45745</v>
      </c>
      <c r="M1244" s="35">
        <f t="shared" si="104"/>
        <v>0</v>
      </c>
      <c r="N1244" s="35">
        <f t="shared" si="105"/>
        <v>20000</v>
      </c>
      <c r="O1244" s="35">
        <f t="shared" si="106"/>
        <v>0.82191780821917804</v>
      </c>
      <c r="P1244" s="35">
        <f t="shared" si="107"/>
        <v>1.6438356164383561</v>
      </c>
    </row>
    <row r="1245" spans="12:16" ht="15" hidden="1" customHeight="1">
      <c r="L1245" s="43">
        <f t="shared" si="103"/>
        <v>45746</v>
      </c>
      <c r="M1245" s="35">
        <f t="shared" si="104"/>
        <v>0</v>
      </c>
      <c r="N1245" s="35">
        <f t="shared" si="105"/>
        <v>20000</v>
      </c>
      <c r="O1245" s="35">
        <f t="shared" si="106"/>
        <v>0.82191780821917804</v>
      </c>
      <c r="P1245" s="35">
        <f t="shared" si="107"/>
        <v>1.6438356164383561</v>
      </c>
    </row>
    <row r="1246" spans="12:16" ht="15" hidden="1" customHeight="1">
      <c r="L1246" s="43">
        <f t="shared" si="103"/>
        <v>45747</v>
      </c>
      <c r="M1246" s="35">
        <f t="shared" si="104"/>
        <v>2500</v>
      </c>
      <c r="N1246" s="35">
        <f t="shared" si="105"/>
        <v>17500</v>
      </c>
      <c r="O1246" s="35">
        <f t="shared" si="106"/>
        <v>0.82191780821917804</v>
      </c>
      <c r="P1246" s="35">
        <f t="shared" si="107"/>
        <v>1.6438356164383561</v>
      </c>
    </row>
    <row r="1247" spans="12:16" ht="15" hidden="1" customHeight="1">
      <c r="L1247" s="43">
        <f t="shared" ref="L1247:L1310" si="108">IFERROR(IF(MAX(L1246+1,Дата_получения_Займа+1)&gt;Дата_погашения_Займа,"-",MAX(L1246+1,Дата_получения_Займа+1)),"-")</f>
        <v>45748</v>
      </c>
      <c r="M1247" s="35">
        <f t="shared" ref="M1247:M1310" si="109">IFERROR(VLOOKUP(L1247,$B$31:$E$59,4,FALSE),0)</f>
        <v>0</v>
      </c>
      <c r="N1247" s="35">
        <f t="shared" ref="N1247:N1310" si="110">IF(ISNUMBER(N1246),N1246-M1247,$E$20)</f>
        <v>17500</v>
      </c>
      <c r="O1247" s="35">
        <f t="shared" ref="O1247:O1310" si="111">IFERROR(IF(ISNUMBER(N1246),N1246,$E$20)*IF(L1247&gt;=$J$20,$E$25,$E$24)/IF(MOD(YEAR(L1247),4),365,366)*IF(ISBLANK(L1246),L1247-$E$22,L1247-L1246),0)</f>
        <v>0.71917808219178081</v>
      </c>
      <c r="P1247" s="35">
        <f t="shared" ref="P1247:P1310" si="112">IFERROR(IF(ISNUMBER(N1246),N1246,$E$20)*3%/IF(MOD(YEAR(L1247),4),365,366)*IF(ISBLANK(L1246),(L1247-$E$22),L1247-L1246),0)</f>
        <v>1.4383561643835616</v>
      </c>
    </row>
    <row r="1248" spans="12:16" ht="15" hidden="1" customHeight="1">
      <c r="L1248" s="43">
        <f t="shared" si="108"/>
        <v>45749</v>
      </c>
      <c r="M1248" s="35">
        <f t="shared" si="109"/>
        <v>0</v>
      </c>
      <c r="N1248" s="35">
        <f t="shared" si="110"/>
        <v>17500</v>
      </c>
      <c r="O1248" s="35">
        <f t="shared" si="111"/>
        <v>0.71917808219178081</v>
      </c>
      <c r="P1248" s="35">
        <f t="shared" si="112"/>
        <v>1.4383561643835616</v>
      </c>
    </row>
    <row r="1249" spans="12:16" ht="15" hidden="1" customHeight="1">
      <c r="L1249" s="43">
        <f t="shared" si="108"/>
        <v>45750</v>
      </c>
      <c r="M1249" s="35">
        <f t="shared" si="109"/>
        <v>0</v>
      </c>
      <c r="N1249" s="35">
        <f t="shared" si="110"/>
        <v>17500</v>
      </c>
      <c r="O1249" s="35">
        <f t="shared" si="111"/>
        <v>0.71917808219178081</v>
      </c>
      <c r="P1249" s="35">
        <f t="shared" si="112"/>
        <v>1.4383561643835616</v>
      </c>
    </row>
    <row r="1250" spans="12:16" ht="15" hidden="1" customHeight="1">
      <c r="L1250" s="43">
        <f t="shared" si="108"/>
        <v>45751</v>
      </c>
      <c r="M1250" s="35">
        <f t="shared" si="109"/>
        <v>0</v>
      </c>
      <c r="N1250" s="35">
        <f t="shared" si="110"/>
        <v>17500</v>
      </c>
      <c r="O1250" s="35">
        <f t="shared" si="111"/>
        <v>0.71917808219178081</v>
      </c>
      <c r="P1250" s="35">
        <f t="shared" si="112"/>
        <v>1.4383561643835616</v>
      </c>
    </row>
    <row r="1251" spans="12:16" ht="15" hidden="1" customHeight="1">
      <c r="L1251" s="43">
        <f t="shared" si="108"/>
        <v>45752</v>
      </c>
      <c r="M1251" s="35">
        <f t="shared" si="109"/>
        <v>0</v>
      </c>
      <c r="N1251" s="35">
        <f t="shared" si="110"/>
        <v>17500</v>
      </c>
      <c r="O1251" s="35">
        <f t="shared" si="111"/>
        <v>0.71917808219178081</v>
      </c>
      <c r="P1251" s="35">
        <f t="shared" si="112"/>
        <v>1.4383561643835616</v>
      </c>
    </row>
    <row r="1252" spans="12:16" ht="15" hidden="1" customHeight="1">
      <c r="L1252" s="43">
        <f t="shared" si="108"/>
        <v>45753</v>
      </c>
      <c r="M1252" s="35">
        <f t="shared" si="109"/>
        <v>0</v>
      </c>
      <c r="N1252" s="35">
        <f t="shared" si="110"/>
        <v>17500</v>
      </c>
      <c r="O1252" s="35">
        <f t="shared" si="111"/>
        <v>0.71917808219178081</v>
      </c>
      <c r="P1252" s="35">
        <f t="shared" si="112"/>
        <v>1.4383561643835616</v>
      </c>
    </row>
    <row r="1253" spans="12:16" ht="15" hidden="1" customHeight="1">
      <c r="L1253" s="43">
        <f t="shared" si="108"/>
        <v>45754</v>
      </c>
      <c r="M1253" s="35">
        <f t="shared" si="109"/>
        <v>0</v>
      </c>
      <c r="N1253" s="35">
        <f t="shared" si="110"/>
        <v>17500</v>
      </c>
      <c r="O1253" s="35">
        <f t="shared" si="111"/>
        <v>0.71917808219178081</v>
      </c>
      <c r="P1253" s="35">
        <f t="shared" si="112"/>
        <v>1.4383561643835616</v>
      </c>
    </row>
    <row r="1254" spans="12:16" ht="15" hidden="1" customHeight="1">
      <c r="L1254" s="43">
        <f t="shared" si="108"/>
        <v>45755</v>
      </c>
      <c r="M1254" s="35">
        <f t="shared" si="109"/>
        <v>0</v>
      </c>
      <c r="N1254" s="35">
        <f t="shared" si="110"/>
        <v>17500</v>
      </c>
      <c r="O1254" s="35">
        <f t="shared" si="111"/>
        <v>0.71917808219178081</v>
      </c>
      <c r="P1254" s="35">
        <f t="shared" si="112"/>
        <v>1.4383561643835616</v>
      </c>
    </row>
    <row r="1255" spans="12:16" ht="15" hidden="1" customHeight="1">
      <c r="L1255" s="43">
        <f t="shared" si="108"/>
        <v>45756</v>
      </c>
      <c r="M1255" s="35">
        <f t="shared" si="109"/>
        <v>0</v>
      </c>
      <c r="N1255" s="35">
        <f t="shared" si="110"/>
        <v>17500</v>
      </c>
      <c r="O1255" s="35">
        <f t="shared" si="111"/>
        <v>0.71917808219178081</v>
      </c>
      <c r="P1255" s="35">
        <f t="shared" si="112"/>
        <v>1.4383561643835616</v>
      </c>
    </row>
    <row r="1256" spans="12:16" ht="15" hidden="1" customHeight="1">
      <c r="L1256" s="43">
        <f t="shared" si="108"/>
        <v>45757</v>
      </c>
      <c r="M1256" s="35">
        <f t="shared" si="109"/>
        <v>0</v>
      </c>
      <c r="N1256" s="35">
        <f t="shared" si="110"/>
        <v>17500</v>
      </c>
      <c r="O1256" s="35">
        <f t="shared" si="111"/>
        <v>0.71917808219178081</v>
      </c>
      <c r="P1256" s="35">
        <f t="shared" si="112"/>
        <v>1.4383561643835616</v>
      </c>
    </row>
    <row r="1257" spans="12:16" ht="15" hidden="1" customHeight="1">
      <c r="L1257" s="43">
        <f t="shared" si="108"/>
        <v>45758</v>
      </c>
      <c r="M1257" s="35">
        <f t="shared" si="109"/>
        <v>0</v>
      </c>
      <c r="N1257" s="35">
        <f t="shared" si="110"/>
        <v>17500</v>
      </c>
      <c r="O1257" s="35">
        <f t="shared" si="111"/>
        <v>0.71917808219178081</v>
      </c>
      <c r="P1257" s="35">
        <f t="shared" si="112"/>
        <v>1.4383561643835616</v>
      </c>
    </row>
    <row r="1258" spans="12:16" ht="15" hidden="1" customHeight="1">
      <c r="L1258" s="43">
        <f t="shared" si="108"/>
        <v>45759</v>
      </c>
      <c r="M1258" s="35">
        <f t="shared" si="109"/>
        <v>0</v>
      </c>
      <c r="N1258" s="35">
        <f t="shared" si="110"/>
        <v>17500</v>
      </c>
      <c r="O1258" s="35">
        <f t="shared" si="111"/>
        <v>0.71917808219178081</v>
      </c>
      <c r="P1258" s="35">
        <f t="shared" si="112"/>
        <v>1.4383561643835616</v>
      </c>
    </row>
    <row r="1259" spans="12:16" ht="15" hidden="1" customHeight="1">
      <c r="L1259" s="43">
        <f t="shared" si="108"/>
        <v>45760</v>
      </c>
      <c r="M1259" s="35">
        <f t="shared" si="109"/>
        <v>0</v>
      </c>
      <c r="N1259" s="35">
        <f t="shared" si="110"/>
        <v>17500</v>
      </c>
      <c r="O1259" s="35">
        <f t="shared" si="111"/>
        <v>0.71917808219178081</v>
      </c>
      <c r="P1259" s="35">
        <f t="shared" si="112"/>
        <v>1.4383561643835616</v>
      </c>
    </row>
    <row r="1260" spans="12:16" ht="15" hidden="1" customHeight="1">
      <c r="L1260" s="43">
        <f t="shared" si="108"/>
        <v>45761</v>
      </c>
      <c r="M1260" s="35">
        <f t="shared" si="109"/>
        <v>0</v>
      </c>
      <c r="N1260" s="35">
        <f t="shared" si="110"/>
        <v>17500</v>
      </c>
      <c r="O1260" s="35">
        <f t="shared" si="111"/>
        <v>0.71917808219178081</v>
      </c>
      <c r="P1260" s="35">
        <f t="shared" si="112"/>
        <v>1.4383561643835616</v>
      </c>
    </row>
    <row r="1261" spans="12:16" ht="15" hidden="1" customHeight="1">
      <c r="L1261" s="43">
        <f t="shared" si="108"/>
        <v>45762</v>
      </c>
      <c r="M1261" s="35">
        <f t="shared" si="109"/>
        <v>0</v>
      </c>
      <c r="N1261" s="35">
        <f t="shared" si="110"/>
        <v>17500</v>
      </c>
      <c r="O1261" s="35">
        <f t="shared" si="111"/>
        <v>0.71917808219178081</v>
      </c>
      <c r="P1261" s="35">
        <f t="shared" si="112"/>
        <v>1.4383561643835616</v>
      </c>
    </row>
    <row r="1262" spans="12:16" ht="15" hidden="1" customHeight="1">
      <c r="L1262" s="43">
        <f t="shared" si="108"/>
        <v>45763</v>
      </c>
      <c r="M1262" s="35">
        <f t="shared" si="109"/>
        <v>0</v>
      </c>
      <c r="N1262" s="35">
        <f t="shared" si="110"/>
        <v>17500</v>
      </c>
      <c r="O1262" s="35">
        <f t="shared" si="111"/>
        <v>0.71917808219178081</v>
      </c>
      <c r="P1262" s="35">
        <f t="shared" si="112"/>
        <v>1.4383561643835616</v>
      </c>
    </row>
    <row r="1263" spans="12:16" ht="15" hidden="1" customHeight="1">
      <c r="L1263" s="43">
        <f t="shared" si="108"/>
        <v>45764</v>
      </c>
      <c r="M1263" s="35">
        <f t="shared" si="109"/>
        <v>0</v>
      </c>
      <c r="N1263" s="35">
        <f t="shared" si="110"/>
        <v>17500</v>
      </c>
      <c r="O1263" s="35">
        <f t="shared" si="111"/>
        <v>0.71917808219178081</v>
      </c>
      <c r="P1263" s="35">
        <f t="shared" si="112"/>
        <v>1.4383561643835616</v>
      </c>
    </row>
    <row r="1264" spans="12:16" ht="15" hidden="1" customHeight="1">
      <c r="L1264" s="43">
        <f t="shared" si="108"/>
        <v>45765</v>
      </c>
      <c r="M1264" s="35">
        <f t="shared" si="109"/>
        <v>0</v>
      </c>
      <c r="N1264" s="35">
        <f t="shared" si="110"/>
        <v>17500</v>
      </c>
      <c r="O1264" s="35">
        <f t="shared" si="111"/>
        <v>0.71917808219178081</v>
      </c>
      <c r="P1264" s="35">
        <f t="shared" si="112"/>
        <v>1.4383561643835616</v>
      </c>
    </row>
    <row r="1265" spans="12:16" ht="15" hidden="1" customHeight="1">
      <c r="L1265" s="43">
        <f t="shared" si="108"/>
        <v>45766</v>
      </c>
      <c r="M1265" s="35">
        <f t="shared" si="109"/>
        <v>0</v>
      </c>
      <c r="N1265" s="35">
        <f t="shared" si="110"/>
        <v>17500</v>
      </c>
      <c r="O1265" s="35">
        <f t="shared" si="111"/>
        <v>0.71917808219178081</v>
      </c>
      <c r="P1265" s="35">
        <f t="shared" si="112"/>
        <v>1.4383561643835616</v>
      </c>
    </row>
    <row r="1266" spans="12:16" ht="15" hidden="1" customHeight="1">
      <c r="L1266" s="43">
        <f t="shared" si="108"/>
        <v>45767</v>
      </c>
      <c r="M1266" s="35">
        <f t="shared" si="109"/>
        <v>0</v>
      </c>
      <c r="N1266" s="35">
        <f t="shared" si="110"/>
        <v>17500</v>
      </c>
      <c r="O1266" s="35">
        <f t="shared" si="111"/>
        <v>0.71917808219178081</v>
      </c>
      <c r="P1266" s="35">
        <f t="shared" si="112"/>
        <v>1.4383561643835616</v>
      </c>
    </row>
    <row r="1267" spans="12:16" ht="15" hidden="1" customHeight="1">
      <c r="L1267" s="43">
        <f t="shared" si="108"/>
        <v>45768</v>
      </c>
      <c r="M1267" s="35">
        <f t="shared" si="109"/>
        <v>0</v>
      </c>
      <c r="N1267" s="35">
        <f t="shared" si="110"/>
        <v>17500</v>
      </c>
      <c r="O1267" s="35">
        <f t="shared" si="111"/>
        <v>0.71917808219178081</v>
      </c>
      <c r="P1267" s="35">
        <f t="shared" si="112"/>
        <v>1.4383561643835616</v>
      </c>
    </row>
    <row r="1268" spans="12:16" ht="15" hidden="1" customHeight="1">
      <c r="L1268" s="43">
        <f t="shared" si="108"/>
        <v>45769</v>
      </c>
      <c r="M1268" s="35">
        <f t="shared" si="109"/>
        <v>0</v>
      </c>
      <c r="N1268" s="35">
        <f t="shared" si="110"/>
        <v>17500</v>
      </c>
      <c r="O1268" s="35">
        <f t="shared" si="111"/>
        <v>0.71917808219178081</v>
      </c>
      <c r="P1268" s="35">
        <f t="shared" si="112"/>
        <v>1.4383561643835616</v>
      </c>
    </row>
    <row r="1269" spans="12:16" ht="15" hidden="1" customHeight="1">
      <c r="L1269" s="43">
        <f t="shared" si="108"/>
        <v>45770</v>
      </c>
      <c r="M1269" s="35">
        <f t="shared" si="109"/>
        <v>0</v>
      </c>
      <c r="N1269" s="35">
        <f t="shared" si="110"/>
        <v>17500</v>
      </c>
      <c r="O1269" s="35">
        <f t="shared" si="111"/>
        <v>0.71917808219178081</v>
      </c>
      <c r="P1269" s="35">
        <f t="shared" si="112"/>
        <v>1.4383561643835616</v>
      </c>
    </row>
    <row r="1270" spans="12:16" ht="15" hidden="1" customHeight="1">
      <c r="L1270" s="43">
        <f t="shared" si="108"/>
        <v>45771</v>
      </c>
      <c r="M1270" s="35">
        <f t="shared" si="109"/>
        <v>0</v>
      </c>
      <c r="N1270" s="35">
        <f t="shared" si="110"/>
        <v>17500</v>
      </c>
      <c r="O1270" s="35">
        <f t="shared" si="111"/>
        <v>0.71917808219178081</v>
      </c>
      <c r="P1270" s="35">
        <f t="shared" si="112"/>
        <v>1.4383561643835616</v>
      </c>
    </row>
    <row r="1271" spans="12:16" ht="15" hidden="1" customHeight="1">
      <c r="L1271" s="43">
        <f t="shared" si="108"/>
        <v>45772</v>
      </c>
      <c r="M1271" s="35">
        <f t="shared" si="109"/>
        <v>0</v>
      </c>
      <c r="N1271" s="35">
        <f t="shared" si="110"/>
        <v>17500</v>
      </c>
      <c r="O1271" s="35">
        <f t="shared" si="111"/>
        <v>0.71917808219178081</v>
      </c>
      <c r="P1271" s="35">
        <f t="shared" si="112"/>
        <v>1.4383561643835616</v>
      </c>
    </row>
    <row r="1272" spans="12:16" ht="15" hidden="1" customHeight="1">
      <c r="L1272" s="43">
        <f t="shared" si="108"/>
        <v>45773</v>
      </c>
      <c r="M1272" s="35">
        <f t="shared" si="109"/>
        <v>0</v>
      </c>
      <c r="N1272" s="35">
        <f t="shared" si="110"/>
        <v>17500</v>
      </c>
      <c r="O1272" s="35">
        <f t="shared" si="111"/>
        <v>0.71917808219178081</v>
      </c>
      <c r="P1272" s="35">
        <f t="shared" si="112"/>
        <v>1.4383561643835616</v>
      </c>
    </row>
    <row r="1273" spans="12:16" ht="15" hidden="1" customHeight="1">
      <c r="L1273" s="43">
        <f t="shared" si="108"/>
        <v>45774</v>
      </c>
      <c r="M1273" s="35">
        <f t="shared" si="109"/>
        <v>0</v>
      </c>
      <c r="N1273" s="35">
        <f t="shared" si="110"/>
        <v>17500</v>
      </c>
      <c r="O1273" s="35">
        <f t="shared" si="111"/>
        <v>0.71917808219178081</v>
      </c>
      <c r="P1273" s="35">
        <f t="shared" si="112"/>
        <v>1.4383561643835616</v>
      </c>
    </row>
    <row r="1274" spans="12:16" ht="15" hidden="1" customHeight="1">
      <c r="L1274" s="43">
        <f t="shared" si="108"/>
        <v>45775</v>
      </c>
      <c r="M1274" s="35">
        <f t="shared" si="109"/>
        <v>0</v>
      </c>
      <c r="N1274" s="35">
        <f t="shared" si="110"/>
        <v>17500</v>
      </c>
      <c r="O1274" s="35">
        <f t="shared" si="111"/>
        <v>0.71917808219178081</v>
      </c>
      <c r="P1274" s="35">
        <f t="shared" si="112"/>
        <v>1.4383561643835616</v>
      </c>
    </row>
    <row r="1275" spans="12:16" ht="15" hidden="1" customHeight="1">
      <c r="L1275" s="43">
        <f t="shared" si="108"/>
        <v>45776</v>
      </c>
      <c r="M1275" s="35">
        <f t="shared" si="109"/>
        <v>0</v>
      </c>
      <c r="N1275" s="35">
        <f t="shared" si="110"/>
        <v>17500</v>
      </c>
      <c r="O1275" s="35">
        <f t="shared" si="111"/>
        <v>0.71917808219178081</v>
      </c>
      <c r="P1275" s="35">
        <f t="shared" si="112"/>
        <v>1.4383561643835616</v>
      </c>
    </row>
    <row r="1276" spans="12:16" ht="15" hidden="1" customHeight="1">
      <c r="L1276" s="43">
        <f t="shared" si="108"/>
        <v>45777</v>
      </c>
      <c r="M1276" s="35">
        <f t="shared" si="109"/>
        <v>0</v>
      </c>
      <c r="N1276" s="35">
        <f t="shared" si="110"/>
        <v>17500</v>
      </c>
      <c r="O1276" s="35">
        <f t="shared" si="111"/>
        <v>0.71917808219178081</v>
      </c>
      <c r="P1276" s="35">
        <f t="shared" si="112"/>
        <v>1.4383561643835616</v>
      </c>
    </row>
    <row r="1277" spans="12:16" ht="15" hidden="1" customHeight="1">
      <c r="L1277" s="43">
        <f t="shared" si="108"/>
        <v>45778</v>
      </c>
      <c r="M1277" s="35">
        <f t="shared" si="109"/>
        <v>0</v>
      </c>
      <c r="N1277" s="35">
        <f t="shared" si="110"/>
        <v>17500</v>
      </c>
      <c r="O1277" s="35">
        <f t="shared" si="111"/>
        <v>0.71917808219178081</v>
      </c>
      <c r="P1277" s="35">
        <f t="shared" si="112"/>
        <v>1.4383561643835616</v>
      </c>
    </row>
    <row r="1278" spans="12:16" ht="15" hidden="1" customHeight="1">
      <c r="L1278" s="43">
        <f t="shared" si="108"/>
        <v>45779</v>
      </c>
      <c r="M1278" s="35">
        <f t="shared" si="109"/>
        <v>0</v>
      </c>
      <c r="N1278" s="35">
        <f t="shared" si="110"/>
        <v>17500</v>
      </c>
      <c r="O1278" s="35">
        <f t="shared" si="111"/>
        <v>0.71917808219178081</v>
      </c>
      <c r="P1278" s="35">
        <f t="shared" si="112"/>
        <v>1.4383561643835616</v>
      </c>
    </row>
    <row r="1279" spans="12:16" ht="15" hidden="1" customHeight="1">
      <c r="L1279" s="43">
        <f t="shared" si="108"/>
        <v>45780</v>
      </c>
      <c r="M1279" s="35">
        <f t="shared" si="109"/>
        <v>0</v>
      </c>
      <c r="N1279" s="35">
        <f t="shared" si="110"/>
        <v>17500</v>
      </c>
      <c r="O1279" s="35">
        <f t="shared" si="111"/>
        <v>0.71917808219178081</v>
      </c>
      <c r="P1279" s="35">
        <f t="shared" si="112"/>
        <v>1.4383561643835616</v>
      </c>
    </row>
    <row r="1280" spans="12:16" ht="15" hidden="1" customHeight="1">
      <c r="L1280" s="43">
        <f t="shared" si="108"/>
        <v>45781</v>
      </c>
      <c r="M1280" s="35">
        <f t="shared" si="109"/>
        <v>0</v>
      </c>
      <c r="N1280" s="35">
        <f t="shared" si="110"/>
        <v>17500</v>
      </c>
      <c r="O1280" s="35">
        <f t="shared" si="111"/>
        <v>0.71917808219178081</v>
      </c>
      <c r="P1280" s="35">
        <f t="shared" si="112"/>
        <v>1.4383561643835616</v>
      </c>
    </row>
    <row r="1281" spans="12:16" ht="15" hidden="1" customHeight="1">
      <c r="L1281" s="43">
        <f t="shared" si="108"/>
        <v>45782</v>
      </c>
      <c r="M1281" s="35">
        <f t="shared" si="109"/>
        <v>0</v>
      </c>
      <c r="N1281" s="35">
        <f t="shared" si="110"/>
        <v>17500</v>
      </c>
      <c r="O1281" s="35">
        <f t="shared" si="111"/>
        <v>0.71917808219178081</v>
      </c>
      <c r="P1281" s="35">
        <f t="shared" si="112"/>
        <v>1.4383561643835616</v>
      </c>
    </row>
    <row r="1282" spans="12:16" ht="15" hidden="1" customHeight="1">
      <c r="L1282" s="43">
        <f t="shared" si="108"/>
        <v>45783</v>
      </c>
      <c r="M1282" s="35">
        <f t="shared" si="109"/>
        <v>0</v>
      </c>
      <c r="N1282" s="35">
        <f t="shared" si="110"/>
        <v>17500</v>
      </c>
      <c r="O1282" s="35">
        <f t="shared" si="111"/>
        <v>0.71917808219178081</v>
      </c>
      <c r="P1282" s="35">
        <f t="shared" si="112"/>
        <v>1.4383561643835616</v>
      </c>
    </row>
    <row r="1283" spans="12:16" ht="15" hidden="1" customHeight="1">
      <c r="L1283" s="43">
        <f t="shared" si="108"/>
        <v>45784</v>
      </c>
      <c r="M1283" s="35">
        <f t="shared" si="109"/>
        <v>0</v>
      </c>
      <c r="N1283" s="35">
        <f t="shared" si="110"/>
        <v>17500</v>
      </c>
      <c r="O1283" s="35">
        <f t="shared" si="111"/>
        <v>0.71917808219178081</v>
      </c>
      <c r="P1283" s="35">
        <f t="shared" si="112"/>
        <v>1.4383561643835616</v>
      </c>
    </row>
    <row r="1284" spans="12:16" ht="15" hidden="1" customHeight="1">
      <c r="L1284" s="43">
        <f t="shared" si="108"/>
        <v>45785</v>
      </c>
      <c r="M1284" s="35">
        <f t="shared" si="109"/>
        <v>0</v>
      </c>
      <c r="N1284" s="35">
        <f t="shared" si="110"/>
        <v>17500</v>
      </c>
      <c r="O1284" s="35">
        <f t="shared" si="111"/>
        <v>0.71917808219178081</v>
      </c>
      <c r="P1284" s="35">
        <f t="shared" si="112"/>
        <v>1.4383561643835616</v>
      </c>
    </row>
    <row r="1285" spans="12:16" ht="15" hidden="1" customHeight="1">
      <c r="L1285" s="43">
        <f t="shared" si="108"/>
        <v>45786</v>
      </c>
      <c r="M1285" s="35">
        <f t="shared" si="109"/>
        <v>0</v>
      </c>
      <c r="N1285" s="35">
        <f t="shared" si="110"/>
        <v>17500</v>
      </c>
      <c r="O1285" s="35">
        <f t="shared" si="111"/>
        <v>0.71917808219178081</v>
      </c>
      <c r="P1285" s="35">
        <f t="shared" si="112"/>
        <v>1.4383561643835616</v>
      </c>
    </row>
    <row r="1286" spans="12:16" ht="15" hidden="1" customHeight="1">
      <c r="L1286" s="43">
        <f t="shared" si="108"/>
        <v>45787</v>
      </c>
      <c r="M1286" s="35">
        <f t="shared" si="109"/>
        <v>0</v>
      </c>
      <c r="N1286" s="35">
        <f t="shared" si="110"/>
        <v>17500</v>
      </c>
      <c r="O1286" s="35">
        <f t="shared" si="111"/>
        <v>0.71917808219178081</v>
      </c>
      <c r="P1286" s="35">
        <f t="shared" si="112"/>
        <v>1.4383561643835616</v>
      </c>
    </row>
    <row r="1287" spans="12:16" ht="15" hidden="1" customHeight="1">
      <c r="L1287" s="43">
        <f t="shared" si="108"/>
        <v>45788</v>
      </c>
      <c r="M1287" s="35">
        <f t="shared" si="109"/>
        <v>0</v>
      </c>
      <c r="N1287" s="35">
        <f t="shared" si="110"/>
        <v>17500</v>
      </c>
      <c r="O1287" s="35">
        <f t="shared" si="111"/>
        <v>0.71917808219178081</v>
      </c>
      <c r="P1287" s="35">
        <f t="shared" si="112"/>
        <v>1.4383561643835616</v>
      </c>
    </row>
    <row r="1288" spans="12:16" ht="15" hidden="1" customHeight="1">
      <c r="L1288" s="43">
        <f t="shared" si="108"/>
        <v>45789</v>
      </c>
      <c r="M1288" s="35">
        <f t="shared" si="109"/>
        <v>0</v>
      </c>
      <c r="N1288" s="35">
        <f t="shared" si="110"/>
        <v>17500</v>
      </c>
      <c r="O1288" s="35">
        <f t="shared" si="111"/>
        <v>0.71917808219178081</v>
      </c>
      <c r="P1288" s="35">
        <f t="shared" si="112"/>
        <v>1.4383561643835616</v>
      </c>
    </row>
    <row r="1289" spans="12:16" ht="15" hidden="1" customHeight="1">
      <c r="L1289" s="43">
        <f t="shared" si="108"/>
        <v>45790</v>
      </c>
      <c r="M1289" s="35">
        <f t="shared" si="109"/>
        <v>0</v>
      </c>
      <c r="N1289" s="35">
        <f t="shared" si="110"/>
        <v>17500</v>
      </c>
      <c r="O1289" s="35">
        <f t="shared" si="111"/>
        <v>0.71917808219178081</v>
      </c>
      <c r="P1289" s="35">
        <f t="shared" si="112"/>
        <v>1.4383561643835616</v>
      </c>
    </row>
    <row r="1290" spans="12:16" ht="15" hidden="1" customHeight="1">
      <c r="L1290" s="43">
        <f t="shared" si="108"/>
        <v>45791</v>
      </c>
      <c r="M1290" s="35">
        <f t="shared" si="109"/>
        <v>0</v>
      </c>
      <c r="N1290" s="35">
        <f t="shared" si="110"/>
        <v>17500</v>
      </c>
      <c r="O1290" s="35">
        <f t="shared" si="111"/>
        <v>0.71917808219178081</v>
      </c>
      <c r="P1290" s="35">
        <f t="shared" si="112"/>
        <v>1.4383561643835616</v>
      </c>
    </row>
    <row r="1291" spans="12:16" ht="15" hidden="1" customHeight="1">
      <c r="L1291" s="43">
        <f t="shared" si="108"/>
        <v>45792</v>
      </c>
      <c r="M1291" s="35">
        <f t="shared" si="109"/>
        <v>0</v>
      </c>
      <c r="N1291" s="35">
        <f t="shared" si="110"/>
        <v>17500</v>
      </c>
      <c r="O1291" s="35">
        <f t="shared" si="111"/>
        <v>0.71917808219178081</v>
      </c>
      <c r="P1291" s="35">
        <f t="shared" si="112"/>
        <v>1.4383561643835616</v>
      </c>
    </row>
    <row r="1292" spans="12:16" ht="15" hidden="1" customHeight="1">
      <c r="L1292" s="43">
        <f t="shared" si="108"/>
        <v>45793</v>
      </c>
      <c r="M1292" s="35">
        <f t="shared" si="109"/>
        <v>0</v>
      </c>
      <c r="N1292" s="35">
        <f t="shared" si="110"/>
        <v>17500</v>
      </c>
      <c r="O1292" s="35">
        <f t="shared" si="111"/>
        <v>0.71917808219178081</v>
      </c>
      <c r="P1292" s="35">
        <f t="shared" si="112"/>
        <v>1.4383561643835616</v>
      </c>
    </row>
    <row r="1293" spans="12:16" ht="15" hidden="1" customHeight="1">
      <c r="L1293" s="43">
        <f t="shared" si="108"/>
        <v>45794</v>
      </c>
      <c r="M1293" s="35">
        <f t="shared" si="109"/>
        <v>0</v>
      </c>
      <c r="N1293" s="35">
        <f t="shared" si="110"/>
        <v>17500</v>
      </c>
      <c r="O1293" s="35">
        <f t="shared" si="111"/>
        <v>0.71917808219178081</v>
      </c>
      <c r="P1293" s="35">
        <f t="shared" si="112"/>
        <v>1.4383561643835616</v>
      </c>
    </row>
    <row r="1294" spans="12:16" ht="15" hidden="1" customHeight="1">
      <c r="L1294" s="43">
        <f t="shared" si="108"/>
        <v>45795</v>
      </c>
      <c r="M1294" s="35">
        <f t="shared" si="109"/>
        <v>0</v>
      </c>
      <c r="N1294" s="35">
        <f t="shared" si="110"/>
        <v>17500</v>
      </c>
      <c r="O1294" s="35">
        <f t="shared" si="111"/>
        <v>0.71917808219178081</v>
      </c>
      <c r="P1294" s="35">
        <f t="shared" si="112"/>
        <v>1.4383561643835616</v>
      </c>
    </row>
    <row r="1295" spans="12:16" ht="15" hidden="1" customHeight="1">
      <c r="L1295" s="43">
        <f t="shared" si="108"/>
        <v>45796</v>
      </c>
      <c r="M1295" s="35">
        <f t="shared" si="109"/>
        <v>0</v>
      </c>
      <c r="N1295" s="35">
        <f t="shared" si="110"/>
        <v>17500</v>
      </c>
      <c r="O1295" s="35">
        <f t="shared" si="111"/>
        <v>0.71917808219178081</v>
      </c>
      <c r="P1295" s="35">
        <f t="shared" si="112"/>
        <v>1.4383561643835616</v>
      </c>
    </row>
    <row r="1296" spans="12:16" ht="15" hidden="1" customHeight="1">
      <c r="L1296" s="43">
        <f t="shared" si="108"/>
        <v>45797</v>
      </c>
      <c r="M1296" s="35">
        <f t="shared" si="109"/>
        <v>0</v>
      </c>
      <c r="N1296" s="35">
        <f t="shared" si="110"/>
        <v>17500</v>
      </c>
      <c r="O1296" s="35">
        <f t="shared" si="111"/>
        <v>0.71917808219178081</v>
      </c>
      <c r="P1296" s="35">
        <f t="shared" si="112"/>
        <v>1.4383561643835616</v>
      </c>
    </row>
    <row r="1297" spans="12:16" ht="15" hidden="1" customHeight="1">
      <c r="L1297" s="43">
        <f t="shared" si="108"/>
        <v>45798</v>
      </c>
      <c r="M1297" s="35">
        <f t="shared" si="109"/>
        <v>0</v>
      </c>
      <c r="N1297" s="35">
        <f t="shared" si="110"/>
        <v>17500</v>
      </c>
      <c r="O1297" s="35">
        <f t="shared" si="111"/>
        <v>0.71917808219178081</v>
      </c>
      <c r="P1297" s="35">
        <f t="shared" si="112"/>
        <v>1.4383561643835616</v>
      </c>
    </row>
    <row r="1298" spans="12:16" ht="15" hidden="1" customHeight="1">
      <c r="L1298" s="43">
        <f t="shared" si="108"/>
        <v>45799</v>
      </c>
      <c r="M1298" s="35">
        <f t="shared" si="109"/>
        <v>0</v>
      </c>
      <c r="N1298" s="35">
        <f t="shared" si="110"/>
        <v>17500</v>
      </c>
      <c r="O1298" s="35">
        <f t="shared" si="111"/>
        <v>0.71917808219178081</v>
      </c>
      <c r="P1298" s="35">
        <f t="shared" si="112"/>
        <v>1.4383561643835616</v>
      </c>
    </row>
    <row r="1299" spans="12:16" ht="15" hidden="1" customHeight="1">
      <c r="L1299" s="43">
        <f t="shared" si="108"/>
        <v>45800</v>
      </c>
      <c r="M1299" s="35">
        <f t="shared" si="109"/>
        <v>0</v>
      </c>
      <c r="N1299" s="35">
        <f t="shared" si="110"/>
        <v>17500</v>
      </c>
      <c r="O1299" s="35">
        <f t="shared" si="111"/>
        <v>0.71917808219178081</v>
      </c>
      <c r="P1299" s="35">
        <f t="shared" si="112"/>
        <v>1.4383561643835616</v>
      </c>
    </row>
    <row r="1300" spans="12:16" ht="15" hidden="1" customHeight="1">
      <c r="L1300" s="43">
        <f t="shared" si="108"/>
        <v>45801</v>
      </c>
      <c r="M1300" s="35">
        <f t="shared" si="109"/>
        <v>0</v>
      </c>
      <c r="N1300" s="35">
        <f t="shared" si="110"/>
        <v>17500</v>
      </c>
      <c r="O1300" s="35">
        <f t="shared" si="111"/>
        <v>0.71917808219178081</v>
      </c>
      <c r="P1300" s="35">
        <f t="shared" si="112"/>
        <v>1.4383561643835616</v>
      </c>
    </row>
    <row r="1301" spans="12:16" ht="15" hidden="1" customHeight="1">
      <c r="L1301" s="43">
        <f t="shared" si="108"/>
        <v>45802</v>
      </c>
      <c r="M1301" s="35">
        <f t="shared" si="109"/>
        <v>0</v>
      </c>
      <c r="N1301" s="35">
        <f t="shared" si="110"/>
        <v>17500</v>
      </c>
      <c r="O1301" s="35">
        <f t="shared" si="111"/>
        <v>0.71917808219178081</v>
      </c>
      <c r="P1301" s="35">
        <f t="shared" si="112"/>
        <v>1.4383561643835616</v>
      </c>
    </row>
    <row r="1302" spans="12:16" ht="15" hidden="1" customHeight="1">
      <c r="L1302" s="43">
        <f t="shared" si="108"/>
        <v>45803</v>
      </c>
      <c r="M1302" s="35">
        <f t="shared" si="109"/>
        <v>0</v>
      </c>
      <c r="N1302" s="35">
        <f t="shared" si="110"/>
        <v>17500</v>
      </c>
      <c r="O1302" s="35">
        <f t="shared" si="111"/>
        <v>0.71917808219178081</v>
      </c>
      <c r="P1302" s="35">
        <f t="shared" si="112"/>
        <v>1.4383561643835616</v>
      </c>
    </row>
    <row r="1303" spans="12:16" ht="15" hidden="1" customHeight="1">
      <c r="L1303" s="43">
        <f t="shared" si="108"/>
        <v>45804</v>
      </c>
      <c r="M1303" s="35">
        <f t="shared" si="109"/>
        <v>0</v>
      </c>
      <c r="N1303" s="35">
        <f t="shared" si="110"/>
        <v>17500</v>
      </c>
      <c r="O1303" s="35">
        <f t="shared" si="111"/>
        <v>0.71917808219178081</v>
      </c>
      <c r="P1303" s="35">
        <f t="shared" si="112"/>
        <v>1.4383561643835616</v>
      </c>
    </row>
    <row r="1304" spans="12:16" ht="15" hidden="1" customHeight="1">
      <c r="L1304" s="43">
        <f t="shared" si="108"/>
        <v>45805</v>
      </c>
      <c r="M1304" s="35">
        <f t="shared" si="109"/>
        <v>0</v>
      </c>
      <c r="N1304" s="35">
        <f t="shared" si="110"/>
        <v>17500</v>
      </c>
      <c r="O1304" s="35">
        <f t="shared" si="111"/>
        <v>0.71917808219178081</v>
      </c>
      <c r="P1304" s="35">
        <f t="shared" si="112"/>
        <v>1.4383561643835616</v>
      </c>
    </row>
    <row r="1305" spans="12:16" ht="15" hidden="1" customHeight="1">
      <c r="L1305" s="43">
        <f t="shared" si="108"/>
        <v>45806</v>
      </c>
      <c r="M1305" s="35">
        <f t="shared" si="109"/>
        <v>0</v>
      </c>
      <c r="N1305" s="35">
        <f t="shared" si="110"/>
        <v>17500</v>
      </c>
      <c r="O1305" s="35">
        <f t="shared" si="111"/>
        <v>0.71917808219178081</v>
      </c>
      <c r="P1305" s="35">
        <f t="shared" si="112"/>
        <v>1.4383561643835616</v>
      </c>
    </row>
    <row r="1306" spans="12:16" ht="15" hidden="1" customHeight="1">
      <c r="L1306" s="43">
        <f t="shared" si="108"/>
        <v>45807</v>
      </c>
      <c r="M1306" s="35">
        <f t="shared" si="109"/>
        <v>0</v>
      </c>
      <c r="N1306" s="35">
        <f t="shared" si="110"/>
        <v>17500</v>
      </c>
      <c r="O1306" s="35">
        <f t="shared" si="111"/>
        <v>0.71917808219178081</v>
      </c>
      <c r="P1306" s="35">
        <f t="shared" si="112"/>
        <v>1.4383561643835616</v>
      </c>
    </row>
    <row r="1307" spans="12:16" ht="15" hidden="1" customHeight="1">
      <c r="L1307" s="43">
        <f t="shared" si="108"/>
        <v>45808</v>
      </c>
      <c r="M1307" s="35">
        <f t="shared" si="109"/>
        <v>0</v>
      </c>
      <c r="N1307" s="35">
        <f t="shared" si="110"/>
        <v>17500</v>
      </c>
      <c r="O1307" s="35">
        <f t="shared" si="111"/>
        <v>0.71917808219178081</v>
      </c>
      <c r="P1307" s="35">
        <f t="shared" si="112"/>
        <v>1.4383561643835616</v>
      </c>
    </row>
    <row r="1308" spans="12:16" ht="15" hidden="1" customHeight="1">
      <c r="L1308" s="43">
        <f t="shared" si="108"/>
        <v>45809</v>
      </c>
      <c r="M1308" s="35">
        <f t="shared" si="109"/>
        <v>0</v>
      </c>
      <c r="N1308" s="35">
        <f t="shared" si="110"/>
        <v>17500</v>
      </c>
      <c r="O1308" s="35">
        <f t="shared" si="111"/>
        <v>0.71917808219178081</v>
      </c>
      <c r="P1308" s="35">
        <f t="shared" si="112"/>
        <v>1.4383561643835616</v>
      </c>
    </row>
    <row r="1309" spans="12:16" ht="15" hidden="1" customHeight="1">
      <c r="L1309" s="43">
        <f t="shared" si="108"/>
        <v>45810</v>
      </c>
      <c r="M1309" s="35">
        <f t="shared" si="109"/>
        <v>0</v>
      </c>
      <c r="N1309" s="35">
        <f t="shared" si="110"/>
        <v>17500</v>
      </c>
      <c r="O1309" s="35">
        <f t="shared" si="111"/>
        <v>0.71917808219178081</v>
      </c>
      <c r="P1309" s="35">
        <f t="shared" si="112"/>
        <v>1.4383561643835616</v>
      </c>
    </row>
    <row r="1310" spans="12:16" ht="15" hidden="1" customHeight="1">
      <c r="L1310" s="43">
        <f t="shared" si="108"/>
        <v>45811</v>
      </c>
      <c r="M1310" s="35">
        <f t="shared" si="109"/>
        <v>0</v>
      </c>
      <c r="N1310" s="35">
        <f t="shared" si="110"/>
        <v>17500</v>
      </c>
      <c r="O1310" s="35">
        <f t="shared" si="111"/>
        <v>0.71917808219178081</v>
      </c>
      <c r="P1310" s="35">
        <f t="shared" si="112"/>
        <v>1.4383561643835616</v>
      </c>
    </row>
    <row r="1311" spans="12:16" ht="15" hidden="1" customHeight="1">
      <c r="L1311" s="43">
        <f t="shared" ref="L1311:L1374" si="113">IFERROR(IF(MAX(L1310+1,Дата_получения_Займа+1)&gt;Дата_погашения_Займа,"-",MAX(L1310+1,Дата_получения_Займа+1)),"-")</f>
        <v>45812</v>
      </c>
      <c r="M1311" s="35">
        <f t="shared" ref="M1311:M1374" si="114">IFERROR(VLOOKUP(L1311,$B$31:$E$59,4,FALSE),0)</f>
        <v>0</v>
      </c>
      <c r="N1311" s="35">
        <f t="shared" ref="N1311:N1374" si="115">IF(ISNUMBER(N1310),N1310-M1311,$E$20)</f>
        <v>17500</v>
      </c>
      <c r="O1311" s="35">
        <f t="shared" ref="O1311:O1374" si="116">IFERROR(IF(ISNUMBER(N1310),N1310,$E$20)*IF(L1311&gt;=$J$20,$E$25,$E$24)/IF(MOD(YEAR(L1311),4),365,366)*IF(ISBLANK(L1310),L1311-$E$22,L1311-L1310),0)</f>
        <v>0.71917808219178081</v>
      </c>
      <c r="P1311" s="35">
        <f t="shared" ref="P1311:P1374" si="117">IFERROR(IF(ISNUMBER(N1310),N1310,$E$20)*3%/IF(MOD(YEAR(L1311),4),365,366)*IF(ISBLANK(L1310),(L1311-$E$22),L1311-L1310),0)</f>
        <v>1.4383561643835616</v>
      </c>
    </row>
    <row r="1312" spans="12:16" ht="15" hidden="1" customHeight="1">
      <c r="L1312" s="43">
        <f t="shared" si="113"/>
        <v>45813</v>
      </c>
      <c r="M1312" s="35">
        <f t="shared" si="114"/>
        <v>0</v>
      </c>
      <c r="N1312" s="35">
        <f t="shared" si="115"/>
        <v>17500</v>
      </c>
      <c r="O1312" s="35">
        <f t="shared" si="116"/>
        <v>0.71917808219178081</v>
      </c>
      <c r="P1312" s="35">
        <f t="shared" si="117"/>
        <v>1.4383561643835616</v>
      </c>
    </row>
    <row r="1313" spans="12:16" ht="15" hidden="1" customHeight="1">
      <c r="L1313" s="43">
        <f t="shared" si="113"/>
        <v>45814</v>
      </c>
      <c r="M1313" s="35">
        <f t="shared" si="114"/>
        <v>0</v>
      </c>
      <c r="N1313" s="35">
        <f t="shared" si="115"/>
        <v>17500</v>
      </c>
      <c r="O1313" s="35">
        <f t="shared" si="116"/>
        <v>0.71917808219178081</v>
      </c>
      <c r="P1313" s="35">
        <f t="shared" si="117"/>
        <v>1.4383561643835616</v>
      </c>
    </row>
    <row r="1314" spans="12:16" ht="15" hidden="1" customHeight="1">
      <c r="L1314" s="43">
        <f t="shared" si="113"/>
        <v>45815</v>
      </c>
      <c r="M1314" s="35">
        <f t="shared" si="114"/>
        <v>0</v>
      </c>
      <c r="N1314" s="35">
        <f t="shared" si="115"/>
        <v>17500</v>
      </c>
      <c r="O1314" s="35">
        <f t="shared" si="116"/>
        <v>0.71917808219178081</v>
      </c>
      <c r="P1314" s="35">
        <f t="shared" si="117"/>
        <v>1.4383561643835616</v>
      </c>
    </row>
    <row r="1315" spans="12:16" ht="15" hidden="1" customHeight="1">
      <c r="L1315" s="43">
        <f t="shared" si="113"/>
        <v>45816</v>
      </c>
      <c r="M1315" s="35">
        <f t="shared" si="114"/>
        <v>0</v>
      </c>
      <c r="N1315" s="35">
        <f t="shared" si="115"/>
        <v>17500</v>
      </c>
      <c r="O1315" s="35">
        <f t="shared" si="116"/>
        <v>0.71917808219178081</v>
      </c>
      <c r="P1315" s="35">
        <f t="shared" si="117"/>
        <v>1.4383561643835616</v>
      </c>
    </row>
    <row r="1316" spans="12:16" ht="15" hidden="1" customHeight="1">
      <c r="L1316" s="43">
        <f t="shared" si="113"/>
        <v>45817</v>
      </c>
      <c r="M1316" s="35">
        <f t="shared" si="114"/>
        <v>0</v>
      </c>
      <c r="N1316" s="35">
        <f t="shared" si="115"/>
        <v>17500</v>
      </c>
      <c r="O1316" s="35">
        <f t="shared" si="116"/>
        <v>0.71917808219178081</v>
      </c>
      <c r="P1316" s="35">
        <f t="shared" si="117"/>
        <v>1.4383561643835616</v>
      </c>
    </row>
    <row r="1317" spans="12:16" ht="15" hidden="1" customHeight="1">
      <c r="L1317" s="43">
        <f t="shared" si="113"/>
        <v>45818</v>
      </c>
      <c r="M1317" s="35">
        <f t="shared" si="114"/>
        <v>0</v>
      </c>
      <c r="N1317" s="35">
        <f t="shared" si="115"/>
        <v>17500</v>
      </c>
      <c r="O1317" s="35">
        <f t="shared" si="116"/>
        <v>0.71917808219178081</v>
      </c>
      <c r="P1317" s="35">
        <f t="shared" si="117"/>
        <v>1.4383561643835616</v>
      </c>
    </row>
    <row r="1318" spans="12:16" ht="15" hidden="1" customHeight="1">
      <c r="L1318" s="43">
        <f t="shared" si="113"/>
        <v>45819</v>
      </c>
      <c r="M1318" s="35">
        <f t="shared" si="114"/>
        <v>0</v>
      </c>
      <c r="N1318" s="35">
        <f t="shared" si="115"/>
        <v>17500</v>
      </c>
      <c r="O1318" s="35">
        <f t="shared" si="116"/>
        <v>0.71917808219178081</v>
      </c>
      <c r="P1318" s="35">
        <f t="shared" si="117"/>
        <v>1.4383561643835616</v>
      </c>
    </row>
    <row r="1319" spans="12:16" ht="15" hidden="1" customHeight="1">
      <c r="L1319" s="43">
        <f t="shared" si="113"/>
        <v>45820</v>
      </c>
      <c r="M1319" s="35">
        <f t="shared" si="114"/>
        <v>0</v>
      </c>
      <c r="N1319" s="35">
        <f t="shared" si="115"/>
        <v>17500</v>
      </c>
      <c r="O1319" s="35">
        <f t="shared" si="116"/>
        <v>0.71917808219178081</v>
      </c>
      <c r="P1319" s="35">
        <f t="shared" si="117"/>
        <v>1.4383561643835616</v>
      </c>
    </row>
    <row r="1320" spans="12:16" ht="15" hidden="1" customHeight="1">
      <c r="L1320" s="43">
        <f t="shared" si="113"/>
        <v>45821</v>
      </c>
      <c r="M1320" s="35">
        <f t="shared" si="114"/>
        <v>0</v>
      </c>
      <c r="N1320" s="35">
        <f t="shared" si="115"/>
        <v>17500</v>
      </c>
      <c r="O1320" s="35">
        <f t="shared" si="116"/>
        <v>0.71917808219178081</v>
      </c>
      <c r="P1320" s="35">
        <f t="shared" si="117"/>
        <v>1.4383561643835616</v>
      </c>
    </row>
    <row r="1321" spans="12:16" ht="15" hidden="1" customHeight="1">
      <c r="L1321" s="43">
        <f t="shared" si="113"/>
        <v>45822</v>
      </c>
      <c r="M1321" s="35">
        <f t="shared" si="114"/>
        <v>0</v>
      </c>
      <c r="N1321" s="35">
        <f t="shared" si="115"/>
        <v>17500</v>
      </c>
      <c r="O1321" s="35">
        <f t="shared" si="116"/>
        <v>0.71917808219178081</v>
      </c>
      <c r="P1321" s="35">
        <f t="shared" si="117"/>
        <v>1.4383561643835616</v>
      </c>
    </row>
    <row r="1322" spans="12:16" ht="15" hidden="1" customHeight="1">
      <c r="L1322" s="43">
        <f t="shared" si="113"/>
        <v>45823</v>
      </c>
      <c r="M1322" s="35">
        <f t="shared" si="114"/>
        <v>0</v>
      </c>
      <c r="N1322" s="35">
        <f t="shared" si="115"/>
        <v>17500</v>
      </c>
      <c r="O1322" s="35">
        <f t="shared" si="116"/>
        <v>0.71917808219178081</v>
      </c>
      <c r="P1322" s="35">
        <f t="shared" si="117"/>
        <v>1.4383561643835616</v>
      </c>
    </row>
    <row r="1323" spans="12:16" ht="15" hidden="1" customHeight="1">
      <c r="L1323" s="43">
        <f t="shared" si="113"/>
        <v>45824</v>
      </c>
      <c r="M1323" s="35">
        <f t="shared" si="114"/>
        <v>0</v>
      </c>
      <c r="N1323" s="35">
        <f t="shared" si="115"/>
        <v>17500</v>
      </c>
      <c r="O1323" s="35">
        <f t="shared" si="116"/>
        <v>0.71917808219178081</v>
      </c>
      <c r="P1323" s="35">
        <f t="shared" si="117"/>
        <v>1.4383561643835616</v>
      </c>
    </row>
    <row r="1324" spans="12:16" ht="15" hidden="1" customHeight="1">
      <c r="L1324" s="43">
        <f t="shared" si="113"/>
        <v>45825</v>
      </c>
      <c r="M1324" s="35">
        <f t="shared" si="114"/>
        <v>0</v>
      </c>
      <c r="N1324" s="35">
        <f t="shared" si="115"/>
        <v>17500</v>
      </c>
      <c r="O1324" s="35">
        <f t="shared" si="116"/>
        <v>0.71917808219178081</v>
      </c>
      <c r="P1324" s="35">
        <f t="shared" si="117"/>
        <v>1.4383561643835616</v>
      </c>
    </row>
    <row r="1325" spans="12:16" ht="15" hidden="1" customHeight="1">
      <c r="L1325" s="43">
        <f t="shared" si="113"/>
        <v>45826</v>
      </c>
      <c r="M1325" s="35">
        <f t="shared" si="114"/>
        <v>0</v>
      </c>
      <c r="N1325" s="35">
        <f t="shared" si="115"/>
        <v>17500</v>
      </c>
      <c r="O1325" s="35">
        <f t="shared" si="116"/>
        <v>0.71917808219178081</v>
      </c>
      <c r="P1325" s="35">
        <f t="shared" si="117"/>
        <v>1.4383561643835616</v>
      </c>
    </row>
    <row r="1326" spans="12:16" ht="15" hidden="1" customHeight="1">
      <c r="L1326" s="43">
        <f t="shared" si="113"/>
        <v>45827</v>
      </c>
      <c r="M1326" s="35">
        <f t="shared" si="114"/>
        <v>0</v>
      </c>
      <c r="N1326" s="35">
        <f t="shared" si="115"/>
        <v>17500</v>
      </c>
      <c r="O1326" s="35">
        <f t="shared" si="116"/>
        <v>0.71917808219178081</v>
      </c>
      <c r="P1326" s="35">
        <f t="shared" si="117"/>
        <v>1.4383561643835616</v>
      </c>
    </row>
    <row r="1327" spans="12:16" ht="15" hidden="1" customHeight="1">
      <c r="L1327" s="43">
        <f t="shared" si="113"/>
        <v>45828</v>
      </c>
      <c r="M1327" s="35">
        <f t="shared" si="114"/>
        <v>0</v>
      </c>
      <c r="N1327" s="35">
        <f t="shared" si="115"/>
        <v>17500</v>
      </c>
      <c r="O1327" s="35">
        <f t="shared" si="116"/>
        <v>0.71917808219178081</v>
      </c>
      <c r="P1327" s="35">
        <f t="shared" si="117"/>
        <v>1.4383561643835616</v>
      </c>
    </row>
    <row r="1328" spans="12:16" ht="15" hidden="1" customHeight="1">
      <c r="L1328" s="43">
        <f t="shared" si="113"/>
        <v>45829</v>
      </c>
      <c r="M1328" s="35">
        <f t="shared" si="114"/>
        <v>0</v>
      </c>
      <c r="N1328" s="35">
        <f t="shared" si="115"/>
        <v>17500</v>
      </c>
      <c r="O1328" s="35">
        <f t="shared" si="116"/>
        <v>0.71917808219178081</v>
      </c>
      <c r="P1328" s="35">
        <f t="shared" si="117"/>
        <v>1.4383561643835616</v>
      </c>
    </row>
    <row r="1329" spans="12:16" ht="15" hidden="1" customHeight="1">
      <c r="L1329" s="43">
        <f t="shared" si="113"/>
        <v>45830</v>
      </c>
      <c r="M1329" s="35">
        <f t="shared" si="114"/>
        <v>0</v>
      </c>
      <c r="N1329" s="35">
        <f t="shared" si="115"/>
        <v>17500</v>
      </c>
      <c r="O1329" s="35">
        <f t="shared" si="116"/>
        <v>0.71917808219178081</v>
      </c>
      <c r="P1329" s="35">
        <f t="shared" si="117"/>
        <v>1.4383561643835616</v>
      </c>
    </row>
    <row r="1330" spans="12:16" ht="15" hidden="1" customHeight="1">
      <c r="L1330" s="43">
        <f t="shared" si="113"/>
        <v>45831</v>
      </c>
      <c r="M1330" s="35">
        <f t="shared" si="114"/>
        <v>0</v>
      </c>
      <c r="N1330" s="35">
        <f t="shared" si="115"/>
        <v>17500</v>
      </c>
      <c r="O1330" s="35">
        <f t="shared" si="116"/>
        <v>0.71917808219178081</v>
      </c>
      <c r="P1330" s="35">
        <f t="shared" si="117"/>
        <v>1.4383561643835616</v>
      </c>
    </row>
    <row r="1331" spans="12:16" ht="15" hidden="1" customHeight="1">
      <c r="L1331" s="43">
        <f t="shared" si="113"/>
        <v>45832</v>
      </c>
      <c r="M1331" s="35">
        <f t="shared" si="114"/>
        <v>0</v>
      </c>
      <c r="N1331" s="35">
        <f t="shared" si="115"/>
        <v>17500</v>
      </c>
      <c r="O1331" s="35">
        <f t="shared" si="116"/>
        <v>0.71917808219178081</v>
      </c>
      <c r="P1331" s="35">
        <f t="shared" si="117"/>
        <v>1.4383561643835616</v>
      </c>
    </row>
    <row r="1332" spans="12:16" ht="15" hidden="1" customHeight="1">
      <c r="L1332" s="43">
        <f t="shared" si="113"/>
        <v>45833</v>
      </c>
      <c r="M1332" s="35">
        <f t="shared" si="114"/>
        <v>0</v>
      </c>
      <c r="N1332" s="35">
        <f t="shared" si="115"/>
        <v>17500</v>
      </c>
      <c r="O1332" s="35">
        <f t="shared" si="116"/>
        <v>0.71917808219178081</v>
      </c>
      <c r="P1332" s="35">
        <f t="shared" si="117"/>
        <v>1.4383561643835616</v>
      </c>
    </row>
    <row r="1333" spans="12:16" ht="15" hidden="1" customHeight="1">
      <c r="L1333" s="43">
        <f t="shared" si="113"/>
        <v>45834</v>
      </c>
      <c r="M1333" s="35">
        <f t="shared" si="114"/>
        <v>0</v>
      </c>
      <c r="N1333" s="35">
        <f t="shared" si="115"/>
        <v>17500</v>
      </c>
      <c r="O1333" s="35">
        <f t="shared" si="116"/>
        <v>0.71917808219178081</v>
      </c>
      <c r="P1333" s="35">
        <f t="shared" si="117"/>
        <v>1.4383561643835616</v>
      </c>
    </row>
    <row r="1334" spans="12:16" ht="15" hidden="1" customHeight="1">
      <c r="L1334" s="43">
        <f t="shared" si="113"/>
        <v>45835</v>
      </c>
      <c r="M1334" s="35">
        <f t="shared" si="114"/>
        <v>0</v>
      </c>
      <c r="N1334" s="35">
        <f t="shared" si="115"/>
        <v>17500</v>
      </c>
      <c r="O1334" s="35">
        <f t="shared" si="116"/>
        <v>0.71917808219178081</v>
      </c>
      <c r="P1334" s="35">
        <f t="shared" si="117"/>
        <v>1.4383561643835616</v>
      </c>
    </row>
    <row r="1335" spans="12:16" ht="15" hidden="1" customHeight="1">
      <c r="L1335" s="43">
        <f t="shared" si="113"/>
        <v>45836</v>
      </c>
      <c r="M1335" s="35">
        <f t="shared" si="114"/>
        <v>0</v>
      </c>
      <c r="N1335" s="35">
        <f t="shared" si="115"/>
        <v>17500</v>
      </c>
      <c r="O1335" s="35">
        <f t="shared" si="116"/>
        <v>0.71917808219178081</v>
      </c>
      <c r="P1335" s="35">
        <f t="shared" si="117"/>
        <v>1.4383561643835616</v>
      </c>
    </row>
    <row r="1336" spans="12:16" ht="15" hidden="1" customHeight="1">
      <c r="L1336" s="43">
        <f t="shared" si="113"/>
        <v>45837</v>
      </c>
      <c r="M1336" s="35">
        <f t="shared" si="114"/>
        <v>0</v>
      </c>
      <c r="N1336" s="35">
        <f t="shared" si="115"/>
        <v>17500</v>
      </c>
      <c r="O1336" s="35">
        <f t="shared" si="116"/>
        <v>0.71917808219178081</v>
      </c>
      <c r="P1336" s="35">
        <f t="shared" si="117"/>
        <v>1.4383561643835616</v>
      </c>
    </row>
    <row r="1337" spans="12:16" ht="15" hidden="1" customHeight="1">
      <c r="L1337" s="43">
        <f t="shared" si="113"/>
        <v>45838</v>
      </c>
      <c r="M1337" s="35">
        <f t="shared" si="114"/>
        <v>2500</v>
      </c>
      <c r="N1337" s="35">
        <f t="shared" si="115"/>
        <v>15000</v>
      </c>
      <c r="O1337" s="35">
        <f t="shared" si="116"/>
        <v>0.71917808219178081</v>
      </c>
      <c r="P1337" s="35">
        <f t="shared" si="117"/>
        <v>1.4383561643835616</v>
      </c>
    </row>
    <row r="1338" spans="12:16" ht="15" hidden="1" customHeight="1">
      <c r="L1338" s="43">
        <f t="shared" si="113"/>
        <v>45839</v>
      </c>
      <c r="M1338" s="35">
        <f t="shared" si="114"/>
        <v>0</v>
      </c>
      <c r="N1338" s="35">
        <f t="shared" si="115"/>
        <v>15000</v>
      </c>
      <c r="O1338" s="35">
        <f t="shared" si="116"/>
        <v>0.61643835616438358</v>
      </c>
      <c r="P1338" s="35">
        <f t="shared" si="117"/>
        <v>1.2328767123287672</v>
      </c>
    </row>
    <row r="1339" spans="12:16" ht="15" hidden="1" customHeight="1">
      <c r="L1339" s="43">
        <f t="shared" si="113"/>
        <v>45840</v>
      </c>
      <c r="M1339" s="35">
        <f t="shared" si="114"/>
        <v>0</v>
      </c>
      <c r="N1339" s="35">
        <f t="shared" si="115"/>
        <v>15000</v>
      </c>
      <c r="O1339" s="35">
        <f t="shared" si="116"/>
        <v>0.61643835616438358</v>
      </c>
      <c r="P1339" s="35">
        <f t="shared" si="117"/>
        <v>1.2328767123287672</v>
      </c>
    </row>
    <row r="1340" spans="12:16" ht="15" hidden="1" customHeight="1">
      <c r="L1340" s="43">
        <f t="shared" si="113"/>
        <v>45841</v>
      </c>
      <c r="M1340" s="35">
        <f t="shared" si="114"/>
        <v>0</v>
      </c>
      <c r="N1340" s="35">
        <f t="shared" si="115"/>
        <v>15000</v>
      </c>
      <c r="O1340" s="35">
        <f t="shared" si="116"/>
        <v>0.61643835616438358</v>
      </c>
      <c r="P1340" s="35">
        <f t="shared" si="117"/>
        <v>1.2328767123287672</v>
      </c>
    </row>
    <row r="1341" spans="12:16" ht="15" hidden="1" customHeight="1">
      <c r="L1341" s="43">
        <f t="shared" si="113"/>
        <v>45842</v>
      </c>
      <c r="M1341" s="35">
        <f t="shared" si="114"/>
        <v>0</v>
      </c>
      <c r="N1341" s="35">
        <f t="shared" si="115"/>
        <v>15000</v>
      </c>
      <c r="O1341" s="35">
        <f t="shared" si="116"/>
        <v>0.61643835616438358</v>
      </c>
      <c r="P1341" s="35">
        <f t="shared" si="117"/>
        <v>1.2328767123287672</v>
      </c>
    </row>
    <row r="1342" spans="12:16" ht="15" hidden="1" customHeight="1">
      <c r="L1342" s="43">
        <f t="shared" si="113"/>
        <v>45843</v>
      </c>
      <c r="M1342" s="35">
        <f t="shared" si="114"/>
        <v>0</v>
      </c>
      <c r="N1342" s="35">
        <f t="shared" si="115"/>
        <v>15000</v>
      </c>
      <c r="O1342" s="35">
        <f t="shared" si="116"/>
        <v>0.61643835616438358</v>
      </c>
      <c r="P1342" s="35">
        <f t="shared" si="117"/>
        <v>1.2328767123287672</v>
      </c>
    </row>
    <row r="1343" spans="12:16" ht="15" hidden="1" customHeight="1">
      <c r="L1343" s="43">
        <f t="shared" si="113"/>
        <v>45844</v>
      </c>
      <c r="M1343" s="35">
        <f t="shared" si="114"/>
        <v>0</v>
      </c>
      <c r="N1343" s="35">
        <f t="shared" si="115"/>
        <v>15000</v>
      </c>
      <c r="O1343" s="35">
        <f t="shared" si="116"/>
        <v>0.61643835616438358</v>
      </c>
      <c r="P1343" s="35">
        <f t="shared" si="117"/>
        <v>1.2328767123287672</v>
      </c>
    </row>
    <row r="1344" spans="12:16" ht="15" hidden="1" customHeight="1">
      <c r="L1344" s="43">
        <f t="shared" si="113"/>
        <v>45845</v>
      </c>
      <c r="M1344" s="35">
        <f t="shared" si="114"/>
        <v>0</v>
      </c>
      <c r="N1344" s="35">
        <f t="shared" si="115"/>
        <v>15000</v>
      </c>
      <c r="O1344" s="35">
        <f t="shared" si="116"/>
        <v>0.61643835616438358</v>
      </c>
      <c r="P1344" s="35">
        <f t="shared" si="117"/>
        <v>1.2328767123287672</v>
      </c>
    </row>
    <row r="1345" spans="12:16" ht="15" hidden="1" customHeight="1">
      <c r="L1345" s="43">
        <f t="shared" si="113"/>
        <v>45846</v>
      </c>
      <c r="M1345" s="35">
        <f t="shared" si="114"/>
        <v>0</v>
      </c>
      <c r="N1345" s="35">
        <f t="shared" si="115"/>
        <v>15000</v>
      </c>
      <c r="O1345" s="35">
        <f t="shared" si="116"/>
        <v>0.61643835616438358</v>
      </c>
      <c r="P1345" s="35">
        <f t="shared" si="117"/>
        <v>1.2328767123287672</v>
      </c>
    </row>
    <row r="1346" spans="12:16" ht="15" hidden="1" customHeight="1">
      <c r="L1346" s="43">
        <f t="shared" si="113"/>
        <v>45847</v>
      </c>
      <c r="M1346" s="35">
        <f t="shared" si="114"/>
        <v>0</v>
      </c>
      <c r="N1346" s="35">
        <f t="shared" si="115"/>
        <v>15000</v>
      </c>
      <c r="O1346" s="35">
        <f t="shared" si="116"/>
        <v>0.61643835616438358</v>
      </c>
      <c r="P1346" s="35">
        <f t="shared" si="117"/>
        <v>1.2328767123287672</v>
      </c>
    </row>
    <row r="1347" spans="12:16" ht="15" hidden="1" customHeight="1">
      <c r="L1347" s="43">
        <f t="shared" si="113"/>
        <v>45848</v>
      </c>
      <c r="M1347" s="35">
        <f t="shared" si="114"/>
        <v>0</v>
      </c>
      <c r="N1347" s="35">
        <f t="shared" si="115"/>
        <v>15000</v>
      </c>
      <c r="O1347" s="35">
        <f t="shared" si="116"/>
        <v>0.61643835616438358</v>
      </c>
      <c r="P1347" s="35">
        <f t="shared" si="117"/>
        <v>1.2328767123287672</v>
      </c>
    </row>
    <row r="1348" spans="12:16" ht="15" hidden="1" customHeight="1">
      <c r="L1348" s="43">
        <f t="shared" si="113"/>
        <v>45849</v>
      </c>
      <c r="M1348" s="35">
        <f t="shared" si="114"/>
        <v>0</v>
      </c>
      <c r="N1348" s="35">
        <f t="shared" si="115"/>
        <v>15000</v>
      </c>
      <c r="O1348" s="35">
        <f t="shared" si="116"/>
        <v>0.61643835616438358</v>
      </c>
      <c r="P1348" s="35">
        <f t="shared" si="117"/>
        <v>1.2328767123287672</v>
      </c>
    </row>
    <row r="1349" spans="12:16" ht="15" hidden="1" customHeight="1">
      <c r="L1349" s="43">
        <f t="shared" si="113"/>
        <v>45850</v>
      </c>
      <c r="M1349" s="35">
        <f t="shared" si="114"/>
        <v>0</v>
      </c>
      <c r="N1349" s="35">
        <f t="shared" si="115"/>
        <v>15000</v>
      </c>
      <c r="O1349" s="35">
        <f t="shared" si="116"/>
        <v>0.61643835616438358</v>
      </c>
      <c r="P1349" s="35">
        <f t="shared" si="117"/>
        <v>1.2328767123287672</v>
      </c>
    </row>
    <row r="1350" spans="12:16" ht="15" hidden="1" customHeight="1">
      <c r="L1350" s="43">
        <f t="shared" si="113"/>
        <v>45851</v>
      </c>
      <c r="M1350" s="35">
        <f t="shared" si="114"/>
        <v>0</v>
      </c>
      <c r="N1350" s="35">
        <f t="shared" si="115"/>
        <v>15000</v>
      </c>
      <c r="O1350" s="35">
        <f t="shared" si="116"/>
        <v>0.61643835616438358</v>
      </c>
      <c r="P1350" s="35">
        <f t="shared" si="117"/>
        <v>1.2328767123287672</v>
      </c>
    </row>
    <row r="1351" spans="12:16" ht="15" hidden="1" customHeight="1">
      <c r="L1351" s="43">
        <f t="shared" si="113"/>
        <v>45852</v>
      </c>
      <c r="M1351" s="35">
        <f t="shared" si="114"/>
        <v>0</v>
      </c>
      <c r="N1351" s="35">
        <f t="shared" si="115"/>
        <v>15000</v>
      </c>
      <c r="O1351" s="35">
        <f t="shared" si="116"/>
        <v>0.61643835616438358</v>
      </c>
      <c r="P1351" s="35">
        <f t="shared" si="117"/>
        <v>1.2328767123287672</v>
      </c>
    </row>
    <row r="1352" spans="12:16" ht="15" hidden="1" customHeight="1">
      <c r="L1352" s="43">
        <f t="shared" si="113"/>
        <v>45853</v>
      </c>
      <c r="M1352" s="35">
        <f t="shared" si="114"/>
        <v>0</v>
      </c>
      <c r="N1352" s="35">
        <f t="shared" si="115"/>
        <v>15000</v>
      </c>
      <c r="O1352" s="35">
        <f t="shared" si="116"/>
        <v>0.61643835616438358</v>
      </c>
      <c r="P1352" s="35">
        <f t="shared" si="117"/>
        <v>1.2328767123287672</v>
      </c>
    </row>
    <row r="1353" spans="12:16" ht="15" hidden="1" customHeight="1">
      <c r="L1353" s="43">
        <f t="shared" si="113"/>
        <v>45854</v>
      </c>
      <c r="M1353" s="35">
        <f t="shared" si="114"/>
        <v>0</v>
      </c>
      <c r="N1353" s="35">
        <f t="shared" si="115"/>
        <v>15000</v>
      </c>
      <c r="O1353" s="35">
        <f t="shared" si="116"/>
        <v>0.61643835616438358</v>
      </c>
      <c r="P1353" s="35">
        <f t="shared" si="117"/>
        <v>1.2328767123287672</v>
      </c>
    </row>
    <row r="1354" spans="12:16" ht="15" hidden="1" customHeight="1">
      <c r="L1354" s="43">
        <f t="shared" si="113"/>
        <v>45855</v>
      </c>
      <c r="M1354" s="35">
        <f t="shared" si="114"/>
        <v>0</v>
      </c>
      <c r="N1354" s="35">
        <f t="shared" si="115"/>
        <v>15000</v>
      </c>
      <c r="O1354" s="35">
        <f t="shared" si="116"/>
        <v>0.61643835616438358</v>
      </c>
      <c r="P1354" s="35">
        <f t="shared" si="117"/>
        <v>1.2328767123287672</v>
      </c>
    </row>
    <row r="1355" spans="12:16" ht="15" hidden="1" customHeight="1">
      <c r="L1355" s="43">
        <f t="shared" si="113"/>
        <v>45856</v>
      </c>
      <c r="M1355" s="35">
        <f t="shared" si="114"/>
        <v>0</v>
      </c>
      <c r="N1355" s="35">
        <f t="shared" si="115"/>
        <v>15000</v>
      </c>
      <c r="O1355" s="35">
        <f t="shared" si="116"/>
        <v>0.61643835616438358</v>
      </c>
      <c r="P1355" s="35">
        <f t="shared" si="117"/>
        <v>1.2328767123287672</v>
      </c>
    </row>
    <row r="1356" spans="12:16" ht="15" hidden="1" customHeight="1">
      <c r="L1356" s="43">
        <f t="shared" si="113"/>
        <v>45857</v>
      </c>
      <c r="M1356" s="35">
        <f t="shared" si="114"/>
        <v>0</v>
      </c>
      <c r="N1356" s="35">
        <f t="shared" si="115"/>
        <v>15000</v>
      </c>
      <c r="O1356" s="35">
        <f t="shared" si="116"/>
        <v>0.61643835616438358</v>
      </c>
      <c r="P1356" s="35">
        <f t="shared" si="117"/>
        <v>1.2328767123287672</v>
      </c>
    </row>
    <row r="1357" spans="12:16" ht="15" hidden="1" customHeight="1">
      <c r="L1357" s="43">
        <f t="shared" si="113"/>
        <v>45858</v>
      </c>
      <c r="M1357" s="35">
        <f t="shared" si="114"/>
        <v>0</v>
      </c>
      <c r="N1357" s="35">
        <f t="shared" si="115"/>
        <v>15000</v>
      </c>
      <c r="O1357" s="35">
        <f t="shared" si="116"/>
        <v>0.61643835616438358</v>
      </c>
      <c r="P1357" s="35">
        <f t="shared" si="117"/>
        <v>1.2328767123287672</v>
      </c>
    </row>
    <row r="1358" spans="12:16" ht="15" hidden="1" customHeight="1">
      <c r="L1358" s="43">
        <f t="shared" si="113"/>
        <v>45859</v>
      </c>
      <c r="M1358" s="35">
        <f t="shared" si="114"/>
        <v>0</v>
      </c>
      <c r="N1358" s="35">
        <f t="shared" si="115"/>
        <v>15000</v>
      </c>
      <c r="O1358" s="35">
        <f t="shared" si="116"/>
        <v>0.61643835616438358</v>
      </c>
      <c r="P1358" s="35">
        <f t="shared" si="117"/>
        <v>1.2328767123287672</v>
      </c>
    </row>
    <row r="1359" spans="12:16" ht="15" hidden="1" customHeight="1">
      <c r="L1359" s="43">
        <f t="shared" si="113"/>
        <v>45860</v>
      </c>
      <c r="M1359" s="35">
        <f t="shared" si="114"/>
        <v>0</v>
      </c>
      <c r="N1359" s="35">
        <f t="shared" si="115"/>
        <v>15000</v>
      </c>
      <c r="O1359" s="35">
        <f t="shared" si="116"/>
        <v>0.61643835616438358</v>
      </c>
      <c r="P1359" s="35">
        <f t="shared" si="117"/>
        <v>1.2328767123287672</v>
      </c>
    </row>
    <row r="1360" spans="12:16" ht="15" hidden="1" customHeight="1">
      <c r="L1360" s="43">
        <f t="shared" si="113"/>
        <v>45861</v>
      </c>
      <c r="M1360" s="35">
        <f t="shared" si="114"/>
        <v>0</v>
      </c>
      <c r="N1360" s="35">
        <f t="shared" si="115"/>
        <v>15000</v>
      </c>
      <c r="O1360" s="35">
        <f t="shared" si="116"/>
        <v>0.61643835616438358</v>
      </c>
      <c r="P1360" s="35">
        <f t="shared" si="117"/>
        <v>1.2328767123287672</v>
      </c>
    </row>
    <row r="1361" spans="12:16" ht="15" hidden="1" customHeight="1">
      <c r="L1361" s="43">
        <f t="shared" si="113"/>
        <v>45862</v>
      </c>
      <c r="M1361" s="35">
        <f t="shared" si="114"/>
        <v>0</v>
      </c>
      <c r="N1361" s="35">
        <f t="shared" si="115"/>
        <v>15000</v>
      </c>
      <c r="O1361" s="35">
        <f t="shared" si="116"/>
        <v>0.61643835616438358</v>
      </c>
      <c r="P1361" s="35">
        <f t="shared" si="117"/>
        <v>1.2328767123287672</v>
      </c>
    </row>
    <row r="1362" spans="12:16" ht="15" hidden="1" customHeight="1">
      <c r="L1362" s="43">
        <f t="shared" si="113"/>
        <v>45863</v>
      </c>
      <c r="M1362" s="35">
        <f t="shared" si="114"/>
        <v>0</v>
      </c>
      <c r="N1362" s="35">
        <f t="shared" si="115"/>
        <v>15000</v>
      </c>
      <c r="O1362" s="35">
        <f t="shared" si="116"/>
        <v>0.61643835616438358</v>
      </c>
      <c r="P1362" s="35">
        <f t="shared" si="117"/>
        <v>1.2328767123287672</v>
      </c>
    </row>
    <row r="1363" spans="12:16" ht="15" hidden="1" customHeight="1">
      <c r="L1363" s="43">
        <f t="shared" si="113"/>
        <v>45864</v>
      </c>
      <c r="M1363" s="35">
        <f t="shared" si="114"/>
        <v>0</v>
      </c>
      <c r="N1363" s="35">
        <f t="shared" si="115"/>
        <v>15000</v>
      </c>
      <c r="O1363" s="35">
        <f t="shared" si="116"/>
        <v>0.61643835616438358</v>
      </c>
      <c r="P1363" s="35">
        <f t="shared" si="117"/>
        <v>1.2328767123287672</v>
      </c>
    </row>
    <row r="1364" spans="12:16" ht="15" hidden="1" customHeight="1">
      <c r="L1364" s="43">
        <f t="shared" si="113"/>
        <v>45865</v>
      </c>
      <c r="M1364" s="35">
        <f t="shared" si="114"/>
        <v>0</v>
      </c>
      <c r="N1364" s="35">
        <f t="shared" si="115"/>
        <v>15000</v>
      </c>
      <c r="O1364" s="35">
        <f t="shared" si="116"/>
        <v>0.61643835616438358</v>
      </c>
      <c r="P1364" s="35">
        <f t="shared" si="117"/>
        <v>1.2328767123287672</v>
      </c>
    </row>
    <row r="1365" spans="12:16" ht="15" hidden="1" customHeight="1">
      <c r="L1365" s="43">
        <f t="shared" si="113"/>
        <v>45866</v>
      </c>
      <c r="M1365" s="35">
        <f t="shared" si="114"/>
        <v>0</v>
      </c>
      <c r="N1365" s="35">
        <f t="shared" si="115"/>
        <v>15000</v>
      </c>
      <c r="O1365" s="35">
        <f t="shared" si="116"/>
        <v>0.61643835616438358</v>
      </c>
      <c r="P1365" s="35">
        <f t="shared" si="117"/>
        <v>1.2328767123287672</v>
      </c>
    </row>
    <row r="1366" spans="12:16" ht="15" hidden="1" customHeight="1">
      <c r="L1366" s="43">
        <f t="shared" si="113"/>
        <v>45867</v>
      </c>
      <c r="M1366" s="35">
        <f t="shared" si="114"/>
        <v>0</v>
      </c>
      <c r="N1366" s="35">
        <f t="shared" si="115"/>
        <v>15000</v>
      </c>
      <c r="O1366" s="35">
        <f t="shared" si="116"/>
        <v>0.61643835616438358</v>
      </c>
      <c r="P1366" s="35">
        <f t="shared" si="117"/>
        <v>1.2328767123287672</v>
      </c>
    </row>
    <row r="1367" spans="12:16" ht="15" hidden="1" customHeight="1">
      <c r="L1367" s="43">
        <f t="shared" si="113"/>
        <v>45868</v>
      </c>
      <c r="M1367" s="35">
        <f t="shared" si="114"/>
        <v>0</v>
      </c>
      <c r="N1367" s="35">
        <f t="shared" si="115"/>
        <v>15000</v>
      </c>
      <c r="O1367" s="35">
        <f t="shared" si="116"/>
        <v>0.61643835616438358</v>
      </c>
      <c r="P1367" s="35">
        <f t="shared" si="117"/>
        <v>1.2328767123287672</v>
      </c>
    </row>
    <row r="1368" spans="12:16" ht="15" hidden="1" customHeight="1">
      <c r="L1368" s="43">
        <f t="shared" si="113"/>
        <v>45869</v>
      </c>
      <c r="M1368" s="35">
        <f t="shared" si="114"/>
        <v>0</v>
      </c>
      <c r="N1368" s="35">
        <f t="shared" si="115"/>
        <v>15000</v>
      </c>
      <c r="O1368" s="35">
        <f t="shared" si="116"/>
        <v>0.61643835616438358</v>
      </c>
      <c r="P1368" s="35">
        <f t="shared" si="117"/>
        <v>1.2328767123287672</v>
      </c>
    </row>
    <row r="1369" spans="12:16" ht="15" hidden="1" customHeight="1">
      <c r="L1369" s="43">
        <f t="shared" si="113"/>
        <v>45870</v>
      </c>
      <c r="M1369" s="35">
        <f t="shared" si="114"/>
        <v>0</v>
      </c>
      <c r="N1369" s="35">
        <f t="shared" si="115"/>
        <v>15000</v>
      </c>
      <c r="O1369" s="35">
        <f t="shared" si="116"/>
        <v>0.61643835616438358</v>
      </c>
      <c r="P1369" s="35">
        <f t="shared" si="117"/>
        <v>1.2328767123287672</v>
      </c>
    </row>
    <row r="1370" spans="12:16" ht="15" hidden="1" customHeight="1">
      <c r="L1370" s="43">
        <f t="shared" si="113"/>
        <v>45871</v>
      </c>
      <c r="M1370" s="35">
        <f t="shared" si="114"/>
        <v>0</v>
      </c>
      <c r="N1370" s="35">
        <f t="shared" si="115"/>
        <v>15000</v>
      </c>
      <c r="O1370" s="35">
        <f t="shared" si="116"/>
        <v>0.61643835616438358</v>
      </c>
      <c r="P1370" s="35">
        <f t="shared" si="117"/>
        <v>1.2328767123287672</v>
      </c>
    </row>
    <row r="1371" spans="12:16" ht="15" hidden="1" customHeight="1">
      <c r="L1371" s="43">
        <f t="shared" si="113"/>
        <v>45872</v>
      </c>
      <c r="M1371" s="35">
        <f t="shared" si="114"/>
        <v>0</v>
      </c>
      <c r="N1371" s="35">
        <f t="shared" si="115"/>
        <v>15000</v>
      </c>
      <c r="O1371" s="35">
        <f t="shared" si="116"/>
        <v>0.61643835616438358</v>
      </c>
      <c r="P1371" s="35">
        <f t="shared" si="117"/>
        <v>1.2328767123287672</v>
      </c>
    </row>
    <row r="1372" spans="12:16" ht="15" hidden="1" customHeight="1">
      <c r="L1372" s="43">
        <f t="shared" si="113"/>
        <v>45873</v>
      </c>
      <c r="M1372" s="35">
        <f t="shared" si="114"/>
        <v>0</v>
      </c>
      <c r="N1372" s="35">
        <f t="shared" si="115"/>
        <v>15000</v>
      </c>
      <c r="O1372" s="35">
        <f t="shared" si="116"/>
        <v>0.61643835616438358</v>
      </c>
      <c r="P1372" s="35">
        <f t="shared" si="117"/>
        <v>1.2328767123287672</v>
      </c>
    </row>
    <row r="1373" spans="12:16" ht="15" hidden="1" customHeight="1">
      <c r="L1373" s="43">
        <f t="shared" si="113"/>
        <v>45874</v>
      </c>
      <c r="M1373" s="35">
        <f t="shared" si="114"/>
        <v>0</v>
      </c>
      <c r="N1373" s="35">
        <f t="shared" si="115"/>
        <v>15000</v>
      </c>
      <c r="O1373" s="35">
        <f t="shared" si="116"/>
        <v>0.61643835616438358</v>
      </c>
      <c r="P1373" s="35">
        <f t="shared" si="117"/>
        <v>1.2328767123287672</v>
      </c>
    </row>
    <row r="1374" spans="12:16" ht="15" hidden="1" customHeight="1">
      <c r="L1374" s="43">
        <f t="shared" si="113"/>
        <v>45875</v>
      </c>
      <c r="M1374" s="35">
        <f t="shared" si="114"/>
        <v>0</v>
      </c>
      <c r="N1374" s="35">
        <f t="shared" si="115"/>
        <v>15000</v>
      </c>
      <c r="O1374" s="35">
        <f t="shared" si="116"/>
        <v>0.61643835616438358</v>
      </c>
      <c r="P1374" s="35">
        <f t="shared" si="117"/>
        <v>1.2328767123287672</v>
      </c>
    </row>
    <row r="1375" spans="12:16" ht="15" hidden="1" customHeight="1">
      <c r="L1375" s="43">
        <f t="shared" ref="L1375:L1438" si="118">IFERROR(IF(MAX(L1374+1,Дата_получения_Займа+1)&gt;Дата_погашения_Займа,"-",MAX(L1374+1,Дата_получения_Займа+1)),"-")</f>
        <v>45876</v>
      </c>
      <c r="M1375" s="35">
        <f t="shared" ref="M1375:M1438" si="119">IFERROR(VLOOKUP(L1375,$B$31:$E$59,4,FALSE),0)</f>
        <v>0</v>
      </c>
      <c r="N1375" s="35">
        <f t="shared" ref="N1375:N1438" si="120">IF(ISNUMBER(N1374),N1374-M1375,$E$20)</f>
        <v>15000</v>
      </c>
      <c r="O1375" s="35">
        <f t="shared" ref="O1375:O1438" si="121">IFERROR(IF(ISNUMBER(N1374),N1374,$E$20)*IF(L1375&gt;=$J$20,$E$25,$E$24)/IF(MOD(YEAR(L1375),4),365,366)*IF(ISBLANK(L1374),L1375-$E$22,L1375-L1374),0)</f>
        <v>0.61643835616438358</v>
      </c>
      <c r="P1375" s="35">
        <f t="shared" ref="P1375:P1438" si="122">IFERROR(IF(ISNUMBER(N1374),N1374,$E$20)*3%/IF(MOD(YEAR(L1375),4),365,366)*IF(ISBLANK(L1374),(L1375-$E$22),L1375-L1374),0)</f>
        <v>1.2328767123287672</v>
      </c>
    </row>
    <row r="1376" spans="12:16" ht="15" hidden="1" customHeight="1">
      <c r="L1376" s="43">
        <f t="shared" si="118"/>
        <v>45877</v>
      </c>
      <c r="M1376" s="35">
        <f t="shared" si="119"/>
        <v>0</v>
      </c>
      <c r="N1376" s="35">
        <f t="shared" si="120"/>
        <v>15000</v>
      </c>
      <c r="O1376" s="35">
        <f t="shared" si="121"/>
        <v>0.61643835616438358</v>
      </c>
      <c r="P1376" s="35">
        <f t="shared" si="122"/>
        <v>1.2328767123287672</v>
      </c>
    </row>
    <row r="1377" spans="12:16" ht="15" hidden="1" customHeight="1">
      <c r="L1377" s="43">
        <f t="shared" si="118"/>
        <v>45878</v>
      </c>
      <c r="M1377" s="35">
        <f t="shared" si="119"/>
        <v>0</v>
      </c>
      <c r="N1377" s="35">
        <f t="shared" si="120"/>
        <v>15000</v>
      </c>
      <c r="O1377" s="35">
        <f t="shared" si="121"/>
        <v>0.61643835616438358</v>
      </c>
      <c r="P1377" s="35">
        <f t="shared" si="122"/>
        <v>1.2328767123287672</v>
      </c>
    </row>
    <row r="1378" spans="12:16" ht="15" hidden="1" customHeight="1">
      <c r="L1378" s="43">
        <f t="shared" si="118"/>
        <v>45879</v>
      </c>
      <c r="M1378" s="35">
        <f t="shared" si="119"/>
        <v>0</v>
      </c>
      <c r="N1378" s="35">
        <f t="shared" si="120"/>
        <v>15000</v>
      </c>
      <c r="O1378" s="35">
        <f t="shared" si="121"/>
        <v>0.61643835616438358</v>
      </c>
      <c r="P1378" s="35">
        <f t="shared" si="122"/>
        <v>1.2328767123287672</v>
      </c>
    </row>
    <row r="1379" spans="12:16" ht="15" hidden="1" customHeight="1">
      <c r="L1379" s="43">
        <f t="shared" si="118"/>
        <v>45880</v>
      </c>
      <c r="M1379" s="35">
        <f t="shared" si="119"/>
        <v>0</v>
      </c>
      <c r="N1379" s="35">
        <f t="shared" si="120"/>
        <v>15000</v>
      </c>
      <c r="O1379" s="35">
        <f t="shared" si="121"/>
        <v>0.61643835616438358</v>
      </c>
      <c r="P1379" s="35">
        <f t="shared" si="122"/>
        <v>1.2328767123287672</v>
      </c>
    </row>
    <row r="1380" spans="12:16" ht="15" hidden="1" customHeight="1">
      <c r="L1380" s="43">
        <f t="shared" si="118"/>
        <v>45881</v>
      </c>
      <c r="M1380" s="35">
        <f t="shared" si="119"/>
        <v>0</v>
      </c>
      <c r="N1380" s="35">
        <f t="shared" si="120"/>
        <v>15000</v>
      </c>
      <c r="O1380" s="35">
        <f t="shared" si="121"/>
        <v>0.61643835616438358</v>
      </c>
      <c r="P1380" s="35">
        <f t="shared" si="122"/>
        <v>1.2328767123287672</v>
      </c>
    </row>
    <row r="1381" spans="12:16" ht="15" hidden="1" customHeight="1">
      <c r="L1381" s="43">
        <f t="shared" si="118"/>
        <v>45882</v>
      </c>
      <c r="M1381" s="35">
        <f t="shared" si="119"/>
        <v>0</v>
      </c>
      <c r="N1381" s="35">
        <f t="shared" si="120"/>
        <v>15000</v>
      </c>
      <c r="O1381" s="35">
        <f t="shared" si="121"/>
        <v>0.61643835616438358</v>
      </c>
      <c r="P1381" s="35">
        <f t="shared" si="122"/>
        <v>1.2328767123287672</v>
      </c>
    </row>
    <row r="1382" spans="12:16" ht="15" hidden="1" customHeight="1">
      <c r="L1382" s="43">
        <f t="shared" si="118"/>
        <v>45883</v>
      </c>
      <c r="M1382" s="35">
        <f t="shared" si="119"/>
        <v>0</v>
      </c>
      <c r="N1382" s="35">
        <f t="shared" si="120"/>
        <v>15000</v>
      </c>
      <c r="O1382" s="35">
        <f t="shared" si="121"/>
        <v>0.61643835616438358</v>
      </c>
      <c r="P1382" s="35">
        <f t="shared" si="122"/>
        <v>1.2328767123287672</v>
      </c>
    </row>
    <row r="1383" spans="12:16" ht="15" hidden="1" customHeight="1">
      <c r="L1383" s="43">
        <f t="shared" si="118"/>
        <v>45884</v>
      </c>
      <c r="M1383" s="35">
        <f t="shared" si="119"/>
        <v>0</v>
      </c>
      <c r="N1383" s="35">
        <f t="shared" si="120"/>
        <v>15000</v>
      </c>
      <c r="O1383" s="35">
        <f t="shared" si="121"/>
        <v>0.61643835616438358</v>
      </c>
      <c r="P1383" s="35">
        <f t="shared" si="122"/>
        <v>1.2328767123287672</v>
      </c>
    </row>
    <row r="1384" spans="12:16" ht="15" hidden="1" customHeight="1">
      <c r="L1384" s="43">
        <f t="shared" si="118"/>
        <v>45885</v>
      </c>
      <c r="M1384" s="35">
        <f t="shared" si="119"/>
        <v>0</v>
      </c>
      <c r="N1384" s="35">
        <f t="shared" si="120"/>
        <v>15000</v>
      </c>
      <c r="O1384" s="35">
        <f t="shared" si="121"/>
        <v>0.61643835616438358</v>
      </c>
      <c r="P1384" s="35">
        <f t="shared" si="122"/>
        <v>1.2328767123287672</v>
      </c>
    </row>
    <row r="1385" spans="12:16" ht="15" hidden="1" customHeight="1">
      <c r="L1385" s="43">
        <f t="shared" si="118"/>
        <v>45886</v>
      </c>
      <c r="M1385" s="35">
        <f t="shared" si="119"/>
        <v>0</v>
      </c>
      <c r="N1385" s="35">
        <f t="shared" si="120"/>
        <v>15000</v>
      </c>
      <c r="O1385" s="35">
        <f t="shared" si="121"/>
        <v>0.61643835616438358</v>
      </c>
      <c r="P1385" s="35">
        <f t="shared" si="122"/>
        <v>1.2328767123287672</v>
      </c>
    </row>
    <row r="1386" spans="12:16" ht="15" hidden="1" customHeight="1">
      <c r="L1386" s="43">
        <f t="shared" si="118"/>
        <v>45887</v>
      </c>
      <c r="M1386" s="35">
        <f t="shared" si="119"/>
        <v>0</v>
      </c>
      <c r="N1386" s="35">
        <f t="shared" si="120"/>
        <v>15000</v>
      </c>
      <c r="O1386" s="35">
        <f t="shared" si="121"/>
        <v>0.61643835616438358</v>
      </c>
      <c r="P1386" s="35">
        <f t="shared" si="122"/>
        <v>1.2328767123287672</v>
      </c>
    </row>
    <row r="1387" spans="12:16" ht="15" hidden="1" customHeight="1">
      <c r="L1387" s="43">
        <f t="shared" si="118"/>
        <v>45888</v>
      </c>
      <c r="M1387" s="35">
        <f t="shared" si="119"/>
        <v>0</v>
      </c>
      <c r="N1387" s="35">
        <f t="shared" si="120"/>
        <v>15000</v>
      </c>
      <c r="O1387" s="35">
        <f t="shared" si="121"/>
        <v>0.61643835616438358</v>
      </c>
      <c r="P1387" s="35">
        <f t="shared" si="122"/>
        <v>1.2328767123287672</v>
      </c>
    </row>
    <row r="1388" spans="12:16" ht="15" hidden="1" customHeight="1">
      <c r="L1388" s="43">
        <f t="shared" si="118"/>
        <v>45889</v>
      </c>
      <c r="M1388" s="35">
        <f t="shared" si="119"/>
        <v>0</v>
      </c>
      <c r="N1388" s="35">
        <f t="shared" si="120"/>
        <v>15000</v>
      </c>
      <c r="O1388" s="35">
        <f t="shared" si="121"/>
        <v>0.61643835616438358</v>
      </c>
      <c r="P1388" s="35">
        <f t="shared" si="122"/>
        <v>1.2328767123287672</v>
      </c>
    </row>
    <row r="1389" spans="12:16" ht="15" hidden="1" customHeight="1">
      <c r="L1389" s="43">
        <f t="shared" si="118"/>
        <v>45890</v>
      </c>
      <c r="M1389" s="35">
        <f t="shared" si="119"/>
        <v>0</v>
      </c>
      <c r="N1389" s="35">
        <f t="shared" si="120"/>
        <v>15000</v>
      </c>
      <c r="O1389" s="35">
        <f t="shared" si="121"/>
        <v>0.61643835616438358</v>
      </c>
      <c r="P1389" s="35">
        <f t="shared" si="122"/>
        <v>1.2328767123287672</v>
      </c>
    </row>
    <row r="1390" spans="12:16" ht="15" hidden="1" customHeight="1">
      <c r="L1390" s="43">
        <f t="shared" si="118"/>
        <v>45891</v>
      </c>
      <c r="M1390" s="35">
        <f t="shared" si="119"/>
        <v>0</v>
      </c>
      <c r="N1390" s="35">
        <f t="shared" si="120"/>
        <v>15000</v>
      </c>
      <c r="O1390" s="35">
        <f t="shared" si="121"/>
        <v>0.61643835616438358</v>
      </c>
      <c r="P1390" s="35">
        <f t="shared" si="122"/>
        <v>1.2328767123287672</v>
      </c>
    </row>
    <row r="1391" spans="12:16" ht="15" hidden="1" customHeight="1">
      <c r="L1391" s="43">
        <f t="shared" si="118"/>
        <v>45892</v>
      </c>
      <c r="M1391" s="35">
        <f t="shared" si="119"/>
        <v>0</v>
      </c>
      <c r="N1391" s="35">
        <f t="shared" si="120"/>
        <v>15000</v>
      </c>
      <c r="O1391" s="35">
        <f t="shared" si="121"/>
        <v>0.61643835616438358</v>
      </c>
      <c r="P1391" s="35">
        <f t="shared" si="122"/>
        <v>1.2328767123287672</v>
      </c>
    </row>
    <row r="1392" spans="12:16" ht="15" hidden="1" customHeight="1">
      <c r="L1392" s="43">
        <f t="shared" si="118"/>
        <v>45893</v>
      </c>
      <c r="M1392" s="35">
        <f t="shared" si="119"/>
        <v>0</v>
      </c>
      <c r="N1392" s="35">
        <f t="shared" si="120"/>
        <v>15000</v>
      </c>
      <c r="O1392" s="35">
        <f t="shared" si="121"/>
        <v>0.61643835616438358</v>
      </c>
      <c r="P1392" s="35">
        <f t="shared" si="122"/>
        <v>1.2328767123287672</v>
      </c>
    </row>
    <row r="1393" spans="12:16" ht="15" hidden="1" customHeight="1">
      <c r="L1393" s="43">
        <f t="shared" si="118"/>
        <v>45894</v>
      </c>
      <c r="M1393" s="35">
        <f t="shared" si="119"/>
        <v>0</v>
      </c>
      <c r="N1393" s="35">
        <f t="shared" si="120"/>
        <v>15000</v>
      </c>
      <c r="O1393" s="35">
        <f t="shared" si="121"/>
        <v>0.61643835616438358</v>
      </c>
      <c r="P1393" s="35">
        <f t="shared" si="122"/>
        <v>1.2328767123287672</v>
      </c>
    </row>
    <row r="1394" spans="12:16" ht="15" hidden="1" customHeight="1">
      <c r="L1394" s="43">
        <f t="shared" si="118"/>
        <v>45895</v>
      </c>
      <c r="M1394" s="35">
        <f t="shared" si="119"/>
        <v>0</v>
      </c>
      <c r="N1394" s="35">
        <f t="shared" si="120"/>
        <v>15000</v>
      </c>
      <c r="O1394" s="35">
        <f t="shared" si="121"/>
        <v>0.61643835616438358</v>
      </c>
      <c r="P1394" s="35">
        <f t="shared" si="122"/>
        <v>1.2328767123287672</v>
      </c>
    </row>
    <row r="1395" spans="12:16" ht="15" hidden="1" customHeight="1">
      <c r="L1395" s="43">
        <f t="shared" si="118"/>
        <v>45896</v>
      </c>
      <c r="M1395" s="35">
        <f t="shared" si="119"/>
        <v>0</v>
      </c>
      <c r="N1395" s="35">
        <f t="shared" si="120"/>
        <v>15000</v>
      </c>
      <c r="O1395" s="35">
        <f t="shared" si="121"/>
        <v>0.61643835616438358</v>
      </c>
      <c r="P1395" s="35">
        <f t="shared" si="122"/>
        <v>1.2328767123287672</v>
      </c>
    </row>
    <row r="1396" spans="12:16" ht="15" hidden="1" customHeight="1">
      <c r="L1396" s="43">
        <f t="shared" si="118"/>
        <v>45897</v>
      </c>
      <c r="M1396" s="35">
        <f t="shared" si="119"/>
        <v>0</v>
      </c>
      <c r="N1396" s="35">
        <f t="shared" si="120"/>
        <v>15000</v>
      </c>
      <c r="O1396" s="35">
        <f t="shared" si="121"/>
        <v>0.61643835616438358</v>
      </c>
      <c r="P1396" s="35">
        <f t="shared" si="122"/>
        <v>1.2328767123287672</v>
      </c>
    </row>
    <row r="1397" spans="12:16" ht="15" hidden="1" customHeight="1">
      <c r="L1397" s="43">
        <f t="shared" si="118"/>
        <v>45898</v>
      </c>
      <c r="M1397" s="35">
        <f t="shared" si="119"/>
        <v>0</v>
      </c>
      <c r="N1397" s="35">
        <f t="shared" si="120"/>
        <v>15000</v>
      </c>
      <c r="O1397" s="35">
        <f t="shared" si="121"/>
        <v>0.61643835616438358</v>
      </c>
      <c r="P1397" s="35">
        <f t="shared" si="122"/>
        <v>1.2328767123287672</v>
      </c>
    </row>
    <row r="1398" spans="12:16" ht="15" hidden="1" customHeight="1">
      <c r="L1398" s="43">
        <f t="shared" si="118"/>
        <v>45899</v>
      </c>
      <c r="M1398" s="35">
        <f t="shared" si="119"/>
        <v>0</v>
      </c>
      <c r="N1398" s="35">
        <f t="shared" si="120"/>
        <v>15000</v>
      </c>
      <c r="O1398" s="35">
        <f t="shared" si="121"/>
        <v>0.61643835616438358</v>
      </c>
      <c r="P1398" s="35">
        <f t="shared" si="122"/>
        <v>1.2328767123287672</v>
      </c>
    </row>
    <row r="1399" spans="12:16" ht="15" hidden="1" customHeight="1">
      <c r="L1399" s="43">
        <f t="shared" si="118"/>
        <v>45900</v>
      </c>
      <c r="M1399" s="35">
        <f t="shared" si="119"/>
        <v>0</v>
      </c>
      <c r="N1399" s="35">
        <f t="shared" si="120"/>
        <v>15000</v>
      </c>
      <c r="O1399" s="35">
        <f t="shared" si="121"/>
        <v>0.61643835616438358</v>
      </c>
      <c r="P1399" s="35">
        <f t="shared" si="122"/>
        <v>1.2328767123287672</v>
      </c>
    </row>
    <row r="1400" spans="12:16" ht="15" hidden="1" customHeight="1">
      <c r="L1400" s="43">
        <f t="shared" si="118"/>
        <v>45901</v>
      </c>
      <c r="M1400" s="35">
        <f t="shared" si="119"/>
        <v>0</v>
      </c>
      <c r="N1400" s="35">
        <f t="shared" si="120"/>
        <v>15000</v>
      </c>
      <c r="O1400" s="35">
        <f t="shared" si="121"/>
        <v>0.61643835616438358</v>
      </c>
      <c r="P1400" s="35">
        <f t="shared" si="122"/>
        <v>1.2328767123287672</v>
      </c>
    </row>
    <row r="1401" spans="12:16" ht="15" hidden="1" customHeight="1">
      <c r="L1401" s="43">
        <f t="shared" si="118"/>
        <v>45902</v>
      </c>
      <c r="M1401" s="35">
        <f t="shared" si="119"/>
        <v>0</v>
      </c>
      <c r="N1401" s="35">
        <f t="shared" si="120"/>
        <v>15000</v>
      </c>
      <c r="O1401" s="35">
        <f t="shared" si="121"/>
        <v>0.61643835616438358</v>
      </c>
      <c r="P1401" s="35">
        <f t="shared" si="122"/>
        <v>1.2328767123287672</v>
      </c>
    </row>
    <row r="1402" spans="12:16" ht="15" hidden="1" customHeight="1">
      <c r="L1402" s="43">
        <f t="shared" si="118"/>
        <v>45903</v>
      </c>
      <c r="M1402" s="35">
        <f t="shared" si="119"/>
        <v>0</v>
      </c>
      <c r="N1402" s="35">
        <f t="shared" si="120"/>
        <v>15000</v>
      </c>
      <c r="O1402" s="35">
        <f t="shared" si="121"/>
        <v>0.61643835616438358</v>
      </c>
      <c r="P1402" s="35">
        <f t="shared" si="122"/>
        <v>1.2328767123287672</v>
      </c>
    </row>
    <row r="1403" spans="12:16" ht="15" hidden="1" customHeight="1">
      <c r="L1403" s="43">
        <f t="shared" si="118"/>
        <v>45904</v>
      </c>
      <c r="M1403" s="35">
        <f t="shared" si="119"/>
        <v>0</v>
      </c>
      <c r="N1403" s="35">
        <f t="shared" si="120"/>
        <v>15000</v>
      </c>
      <c r="O1403" s="35">
        <f t="shared" si="121"/>
        <v>0.61643835616438358</v>
      </c>
      <c r="P1403" s="35">
        <f t="shared" si="122"/>
        <v>1.2328767123287672</v>
      </c>
    </row>
    <row r="1404" spans="12:16" ht="15" hidden="1" customHeight="1">
      <c r="L1404" s="43">
        <f t="shared" si="118"/>
        <v>45905</v>
      </c>
      <c r="M1404" s="35">
        <f t="shared" si="119"/>
        <v>0</v>
      </c>
      <c r="N1404" s="35">
        <f t="shared" si="120"/>
        <v>15000</v>
      </c>
      <c r="O1404" s="35">
        <f t="shared" si="121"/>
        <v>0.61643835616438358</v>
      </c>
      <c r="P1404" s="35">
        <f t="shared" si="122"/>
        <v>1.2328767123287672</v>
      </c>
    </row>
    <row r="1405" spans="12:16" ht="15" hidden="1" customHeight="1">
      <c r="L1405" s="43">
        <f t="shared" si="118"/>
        <v>45906</v>
      </c>
      <c r="M1405" s="35">
        <f t="shared" si="119"/>
        <v>0</v>
      </c>
      <c r="N1405" s="35">
        <f t="shared" si="120"/>
        <v>15000</v>
      </c>
      <c r="O1405" s="35">
        <f t="shared" si="121"/>
        <v>0.61643835616438358</v>
      </c>
      <c r="P1405" s="35">
        <f t="shared" si="122"/>
        <v>1.2328767123287672</v>
      </c>
    </row>
    <row r="1406" spans="12:16" ht="15" hidden="1" customHeight="1">
      <c r="L1406" s="43">
        <f t="shared" si="118"/>
        <v>45907</v>
      </c>
      <c r="M1406" s="35">
        <f t="shared" si="119"/>
        <v>0</v>
      </c>
      <c r="N1406" s="35">
        <f t="shared" si="120"/>
        <v>15000</v>
      </c>
      <c r="O1406" s="35">
        <f t="shared" si="121"/>
        <v>0.61643835616438358</v>
      </c>
      <c r="P1406" s="35">
        <f t="shared" si="122"/>
        <v>1.2328767123287672</v>
      </c>
    </row>
    <row r="1407" spans="12:16" ht="15" hidden="1" customHeight="1">
      <c r="L1407" s="43">
        <f t="shared" si="118"/>
        <v>45908</v>
      </c>
      <c r="M1407" s="35">
        <f t="shared" si="119"/>
        <v>0</v>
      </c>
      <c r="N1407" s="35">
        <f t="shared" si="120"/>
        <v>15000</v>
      </c>
      <c r="O1407" s="35">
        <f t="shared" si="121"/>
        <v>0.61643835616438358</v>
      </c>
      <c r="P1407" s="35">
        <f t="shared" si="122"/>
        <v>1.2328767123287672</v>
      </c>
    </row>
    <row r="1408" spans="12:16" ht="15" hidden="1" customHeight="1">
      <c r="L1408" s="43">
        <f t="shared" si="118"/>
        <v>45909</v>
      </c>
      <c r="M1408" s="35">
        <f t="shared" si="119"/>
        <v>0</v>
      </c>
      <c r="N1408" s="35">
        <f t="shared" si="120"/>
        <v>15000</v>
      </c>
      <c r="O1408" s="35">
        <f t="shared" si="121"/>
        <v>0.61643835616438358</v>
      </c>
      <c r="P1408" s="35">
        <f t="shared" si="122"/>
        <v>1.2328767123287672</v>
      </c>
    </row>
    <row r="1409" spans="12:16" ht="15" hidden="1" customHeight="1">
      <c r="L1409" s="43">
        <f t="shared" si="118"/>
        <v>45910</v>
      </c>
      <c r="M1409" s="35">
        <f t="shared" si="119"/>
        <v>0</v>
      </c>
      <c r="N1409" s="35">
        <f t="shared" si="120"/>
        <v>15000</v>
      </c>
      <c r="O1409" s="35">
        <f t="shared" si="121"/>
        <v>0.61643835616438358</v>
      </c>
      <c r="P1409" s="35">
        <f t="shared" si="122"/>
        <v>1.2328767123287672</v>
      </c>
    </row>
    <row r="1410" spans="12:16" ht="15" hidden="1" customHeight="1">
      <c r="L1410" s="43">
        <f t="shared" si="118"/>
        <v>45911</v>
      </c>
      <c r="M1410" s="35">
        <f t="shared" si="119"/>
        <v>0</v>
      </c>
      <c r="N1410" s="35">
        <f t="shared" si="120"/>
        <v>15000</v>
      </c>
      <c r="O1410" s="35">
        <f t="shared" si="121"/>
        <v>0.61643835616438358</v>
      </c>
      <c r="P1410" s="35">
        <f t="shared" si="122"/>
        <v>1.2328767123287672</v>
      </c>
    </row>
    <row r="1411" spans="12:16" ht="15" hidden="1" customHeight="1">
      <c r="L1411" s="43">
        <f t="shared" si="118"/>
        <v>45912</v>
      </c>
      <c r="M1411" s="35">
        <f t="shared" si="119"/>
        <v>0</v>
      </c>
      <c r="N1411" s="35">
        <f t="shared" si="120"/>
        <v>15000</v>
      </c>
      <c r="O1411" s="35">
        <f t="shared" si="121"/>
        <v>0.61643835616438358</v>
      </c>
      <c r="P1411" s="35">
        <f t="shared" si="122"/>
        <v>1.2328767123287672</v>
      </c>
    </row>
    <row r="1412" spans="12:16" ht="15" hidden="1" customHeight="1">
      <c r="L1412" s="43">
        <f t="shared" si="118"/>
        <v>45913</v>
      </c>
      <c r="M1412" s="35">
        <f t="shared" si="119"/>
        <v>0</v>
      </c>
      <c r="N1412" s="35">
        <f t="shared" si="120"/>
        <v>15000</v>
      </c>
      <c r="O1412" s="35">
        <f t="shared" si="121"/>
        <v>0.61643835616438358</v>
      </c>
      <c r="P1412" s="35">
        <f t="shared" si="122"/>
        <v>1.2328767123287672</v>
      </c>
    </row>
    <row r="1413" spans="12:16" ht="15" hidden="1" customHeight="1">
      <c r="L1413" s="43">
        <f t="shared" si="118"/>
        <v>45914</v>
      </c>
      <c r="M1413" s="35">
        <f t="shared" si="119"/>
        <v>0</v>
      </c>
      <c r="N1413" s="35">
        <f t="shared" si="120"/>
        <v>15000</v>
      </c>
      <c r="O1413" s="35">
        <f t="shared" si="121"/>
        <v>0.61643835616438358</v>
      </c>
      <c r="P1413" s="35">
        <f t="shared" si="122"/>
        <v>1.2328767123287672</v>
      </c>
    </row>
    <row r="1414" spans="12:16" ht="15" hidden="1" customHeight="1">
      <c r="L1414" s="43">
        <f t="shared" si="118"/>
        <v>45915</v>
      </c>
      <c r="M1414" s="35">
        <f t="shared" si="119"/>
        <v>0</v>
      </c>
      <c r="N1414" s="35">
        <f t="shared" si="120"/>
        <v>15000</v>
      </c>
      <c r="O1414" s="35">
        <f t="shared" si="121"/>
        <v>0.61643835616438358</v>
      </c>
      <c r="P1414" s="35">
        <f t="shared" si="122"/>
        <v>1.2328767123287672</v>
      </c>
    </row>
    <row r="1415" spans="12:16" ht="15" hidden="1" customHeight="1">
      <c r="L1415" s="43">
        <f t="shared" si="118"/>
        <v>45916</v>
      </c>
      <c r="M1415" s="35">
        <f t="shared" si="119"/>
        <v>0</v>
      </c>
      <c r="N1415" s="35">
        <f t="shared" si="120"/>
        <v>15000</v>
      </c>
      <c r="O1415" s="35">
        <f t="shared" si="121"/>
        <v>0.61643835616438358</v>
      </c>
      <c r="P1415" s="35">
        <f t="shared" si="122"/>
        <v>1.2328767123287672</v>
      </c>
    </row>
    <row r="1416" spans="12:16" ht="15" hidden="1" customHeight="1">
      <c r="L1416" s="43">
        <f t="shared" si="118"/>
        <v>45917</v>
      </c>
      <c r="M1416" s="35">
        <f t="shared" si="119"/>
        <v>0</v>
      </c>
      <c r="N1416" s="35">
        <f t="shared" si="120"/>
        <v>15000</v>
      </c>
      <c r="O1416" s="35">
        <f t="shared" si="121"/>
        <v>0.61643835616438358</v>
      </c>
      <c r="P1416" s="35">
        <f t="shared" si="122"/>
        <v>1.2328767123287672</v>
      </c>
    </row>
    <row r="1417" spans="12:16" ht="15" hidden="1" customHeight="1">
      <c r="L1417" s="43">
        <f t="shared" si="118"/>
        <v>45918</v>
      </c>
      <c r="M1417" s="35">
        <f t="shared" si="119"/>
        <v>0</v>
      </c>
      <c r="N1417" s="35">
        <f t="shared" si="120"/>
        <v>15000</v>
      </c>
      <c r="O1417" s="35">
        <f t="shared" si="121"/>
        <v>0.61643835616438358</v>
      </c>
      <c r="P1417" s="35">
        <f t="shared" si="122"/>
        <v>1.2328767123287672</v>
      </c>
    </row>
    <row r="1418" spans="12:16" ht="15" hidden="1" customHeight="1">
      <c r="L1418" s="43">
        <f t="shared" si="118"/>
        <v>45919</v>
      </c>
      <c r="M1418" s="35">
        <f t="shared" si="119"/>
        <v>0</v>
      </c>
      <c r="N1418" s="35">
        <f t="shared" si="120"/>
        <v>15000</v>
      </c>
      <c r="O1418" s="35">
        <f t="shared" si="121"/>
        <v>0.61643835616438358</v>
      </c>
      <c r="P1418" s="35">
        <f t="shared" si="122"/>
        <v>1.2328767123287672</v>
      </c>
    </row>
    <row r="1419" spans="12:16" ht="15" hidden="1" customHeight="1">
      <c r="L1419" s="43">
        <f t="shared" si="118"/>
        <v>45920</v>
      </c>
      <c r="M1419" s="35">
        <f t="shared" si="119"/>
        <v>0</v>
      </c>
      <c r="N1419" s="35">
        <f t="shared" si="120"/>
        <v>15000</v>
      </c>
      <c r="O1419" s="35">
        <f t="shared" si="121"/>
        <v>0.61643835616438358</v>
      </c>
      <c r="P1419" s="35">
        <f t="shared" si="122"/>
        <v>1.2328767123287672</v>
      </c>
    </row>
    <row r="1420" spans="12:16" ht="15" hidden="1" customHeight="1">
      <c r="L1420" s="43">
        <f t="shared" si="118"/>
        <v>45921</v>
      </c>
      <c r="M1420" s="35">
        <f t="shared" si="119"/>
        <v>0</v>
      </c>
      <c r="N1420" s="35">
        <f t="shared" si="120"/>
        <v>15000</v>
      </c>
      <c r="O1420" s="35">
        <f t="shared" si="121"/>
        <v>0.61643835616438358</v>
      </c>
      <c r="P1420" s="35">
        <f t="shared" si="122"/>
        <v>1.2328767123287672</v>
      </c>
    </row>
    <row r="1421" spans="12:16" ht="15" hidden="1" customHeight="1">
      <c r="L1421" s="43">
        <f t="shared" si="118"/>
        <v>45922</v>
      </c>
      <c r="M1421" s="35">
        <f t="shared" si="119"/>
        <v>0</v>
      </c>
      <c r="N1421" s="35">
        <f t="shared" si="120"/>
        <v>15000</v>
      </c>
      <c r="O1421" s="35">
        <f t="shared" si="121"/>
        <v>0.61643835616438358</v>
      </c>
      <c r="P1421" s="35">
        <f t="shared" si="122"/>
        <v>1.2328767123287672</v>
      </c>
    </row>
    <row r="1422" spans="12:16" ht="15" hidden="1" customHeight="1">
      <c r="L1422" s="43">
        <f t="shared" si="118"/>
        <v>45923</v>
      </c>
      <c r="M1422" s="35">
        <f t="shared" si="119"/>
        <v>0</v>
      </c>
      <c r="N1422" s="35">
        <f t="shared" si="120"/>
        <v>15000</v>
      </c>
      <c r="O1422" s="35">
        <f t="shared" si="121"/>
        <v>0.61643835616438358</v>
      </c>
      <c r="P1422" s="35">
        <f t="shared" si="122"/>
        <v>1.2328767123287672</v>
      </c>
    </row>
    <row r="1423" spans="12:16" ht="15" hidden="1" customHeight="1">
      <c r="L1423" s="43">
        <f t="shared" si="118"/>
        <v>45924</v>
      </c>
      <c r="M1423" s="35">
        <f t="shared" si="119"/>
        <v>0</v>
      </c>
      <c r="N1423" s="35">
        <f t="shared" si="120"/>
        <v>15000</v>
      </c>
      <c r="O1423" s="35">
        <f t="shared" si="121"/>
        <v>0.61643835616438358</v>
      </c>
      <c r="P1423" s="35">
        <f t="shared" si="122"/>
        <v>1.2328767123287672</v>
      </c>
    </row>
    <row r="1424" spans="12:16" ht="15" hidden="1" customHeight="1">
      <c r="L1424" s="43">
        <f t="shared" si="118"/>
        <v>45925</v>
      </c>
      <c r="M1424" s="35">
        <f t="shared" si="119"/>
        <v>0</v>
      </c>
      <c r="N1424" s="35">
        <f t="shared" si="120"/>
        <v>15000</v>
      </c>
      <c r="O1424" s="35">
        <f t="shared" si="121"/>
        <v>0.61643835616438358</v>
      </c>
      <c r="P1424" s="35">
        <f t="shared" si="122"/>
        <v>1.2328767123287672</v>
      </c>
    </row>
    <row r="1425" spans="12:16" ht="15" hidden="1" customHeight="1">
      <c r="L1425" s="43">
        <f t="shared" si="118"/>
        <v>45926</v>
      </c>
      <c r="M1425" s="35">
        <f t="shared" si="119"/>
        <v>0</v>
      </c>
      <c r="N1425" s="35">
        <f t="shared" si="120"/>
        <v>15000</v>
      </c>
      <c r="O1425" s="35">
        <f t="shared" si="121"/>
        <v>0.61643835616438358</v>
      </c>
      <c r="P1425" s="35">
        <f t="shared" si="122"/>
        <v>1.2328767123287672</v>
      </c>
    </row>
    <row r="1426" spans="12:16" ht="15" hidden="1" customHeight="1">
      <c r="L1426" s="43">
        <f t="shared" si="118"/>
        <v>45927</v>
      </c>
      <c r="M1426" s="35">
        <f t="shared" si="119"/>
        <v>0</v>
      </c>
      <c r="N1426" s="35">
        <f t="shared" si="120"/>
        <v>15000</v>
      </c>
      <c r="O1426" s="35">
        <f t="shared" si="121"/>
        <v>0.61643835616438358</v>
      </c>
      <c r="P1426" s="35">
        <f t="shared" si="122"/>
        <v>1.2328767123287672</v>
      </c>
    </row>
    <row r="1427" spans="12:16" ht="15" hidden="1" customHeight="1">
      <c r="L1427" s="43">
        <f t="shared" si="118"/>
        <v>45928</v>
      </c>
      <c r="M1427" s="35">
        <f t="shared" si="119"/>
        <v>0</v>
      </c>
      <c r="N1427" s="35">
        <f t="shared" si="120"/>
        <v>15000</v>
      </c>
      <c r="O1427" s="35">
        <f t="shared" si="121"/>
        <v>0.61643835616438358</v>
      </c>
      <c r="P1427" s="35">
        <f t="shared" si="122"/>
        <v>1.2328767123287672</v>
      </c>
    </row>
    <row r="1428" spans="12:16" ht="15" hidden="1" customHeight="1">
      <c r="L1428" s="43">
        <f t="shared" si="118"/>
        <v>45929</v>
      </c>
      <c r="M1428" s="35">
        <f t="shared" si="119"/>
        <v>0</v>
      </c>
      <c r="N1428" s="35">
        <f t="shared" si="120"/>
        <v>15000</v>
      </c>
      <c r="O1428" s="35">
        <f t="shared" si="121"/>
        <v>0.61643835616438358</v>
      </c>
      <c r="P1428" s="35">
        <f t="shared" si="122"/>
        <v>1.2328767123287672</v>
      </c>
    </row>
    <row r="1429" spans="12:16" ht="15" hidden="1" customHeight="1">
      <c r="L1429" s="43">
        <f t="shared" si="118"/>
        <v>45930</v>
      </c>
      <c r="M1429" s="35">
        <f t="shared" si="119"/>
        <v>2500</v>
      </c>
      <c r="N1429" s="35">
        <f t="shared" si="120"/>
        <v>12500</v>
      </c>
      <c r="O1429" s="35">
        <f t="shared" si="121"/>
        <v>0.61643835616438358</v>
      </c>
      <c r="P1429" s="35">
        <f t="shared" si="122"/>
        <v>1.2328767123287672</v>
      </c>
    </row>
    <row r="1430" spans="12:16" ht="15" hidden="1" customHeight="1">
      <c r="L1430" s="43">
        <f t="shared" si="118"/>
        <v>45931</v>
      </c>
      <c r="M1430" s="35">
        <f t="shared" si="119"/>
        <v>0</v>
      </c>
      <c r="N1430" s="35">
        <f t="shared" si="120"/>
        <v>12500</v>
      </c>
      <c r="O1430" s="35">
        <f t="shared" si="121"/>
        <v>0.51369863013698636</v>
      </c>
      <c r="P1430" s="35">
        <f t="shared" si="122"/>
        <v>1.0273972602739727</v>
      </c>
    </row>
    <row r="1431" spans="12:16" ht="15" hidden="1" customHeight="1">
      <c r="L1431" s="43">
        <f t="shared" si="118"/>
        <v>45932</v>
      </c>
      <c r="M1431" s="35">
        <f t="shared" si="119"/>
        <v>0</v>
      </c>
      <c r="N1431" s="35">
        <f t="shared" si="120"/>
        <v>12500</v>
      </c>
      <c r="O1431" s="35">
        <f t="shared" si="121"/>
        <v>0.51369863013698636</v>
      </c>
      <c r="P1431" s="35">
        <f t="shared" si="122"/>
        <v>1.0273972602739727</v>
      </c>
    </row>
    <row r="1432" spans="12:16" ht="15" hidden="1" customHeight="1">
      <c r="L1432" s="43">
        <f t="shared" si="118"/>
        <v>45933</v>
      </c>
      <c r="M1432" s="35">
        <f t="shared" si="119"/>
        <v>0</v>
      </c>
      <c r="N1432" s="35">
        <f t="shared" si="120"/>
        <v>12500</v>
      </c>
      <c r="O1432" s="35">
        <f t="shared" si="121"/>
        <v>0.51369863013698636</v>
      </c>
      <c r="P1432" s="35">
        <f t="shared" si="122"/>
        <v>1.0273972602739727</v>
      </c>
    </row>
    <row r="1433" spans="12:16" ht="15" hidden="1" customHeight="1">
      <c r="L1433" s="43">
        <f t="shared" si="118"/>
        <v>45934</v>
      </c>
      <c r="M1433" s="35">
        <f t="shared" si="119"/>
        <v>0</v>
      </c>
      <c r="N1433" s="35">
        <f t="shared" si="120"/>
        <v>12500</v>
      </c>
      <c r="O1433" s="35">
        <f t="shared" si="121"/>
        <v>0.51369863013698636</v>
      </c>
      <c r="P1433" s="35">
        <f t="shared" si="122"/>
        <v>1.0273972602739727</v>
      </c>
    </row>
    <row r="1434" spans="12:16" ht="15" hidden="1" customHeight="1">
      <c r="L1434" s="43">
        <f t="shared" si="118"/>
        <v>45935</v>
      </c>
      <c r="M1434" s="35">
        <f t="shared" si="119"/>
        <v>0</v>
      </c>
      <c r="N1434" s="35">
        <f t="shared" si="120"/>
        <v>12500</v>
      </c>
      <c r="O1434" s="35">
        <f t="shared" si="121"/>
        <v>0.51369863013698636</v>
      </c>
      <c r="P1434" s="35">
        <f t="shared" si="122"/>
        <v>1.0273972602739727</v>
      </c>
    </row>
    <row r="1435" spans="12:16" ht="15" hidden="1" customHeight="1">
      <c r="L1435" s="43">
        <f t="shared" si="118"/>
        <v>45936</v>
      </c>
      <c r="M1435" s="35">
        <f t="shared" si="119"/>
        <v>0</v>
      </c>
      <c r="N1435" s="35">
        <f t="shared" si="120"/>
        <v>12500</v>
      </c>
      <c r="O1435" s="35">
        <f t="shared" si="121"/>
        <v>0.51369863013698636</v>
      </c>
      <c r="P1435" s="35">
        <f t="shared" si="122"/>
        <v>1.0273972602739727</v>
      </c>
    </row>
    <row r="1436" spans="12:16" ht="15" hidden="1" customHeight="1">
      <c r="L1436" s="43">
        <f t="shared" si="118"/>
        <v>45937</v>
      </c>
      <c r="M1436" s="35">
        <f t="shared" si="119"/>
        <v>0</v>
      </c>
      <c r="N1436" s="35">
        <f t="shared" si="120"/>
        <v>12500</v>
      </c>
      <c r="O1436" s="35">
        <f t="shared" si="121"/>
        <v>0.51369863013698636</v>
      </c>
      <c r="P1436" s="35">
        <f t="shared" si="122"/>
        <v>1.0273972602739727</v>
      </c>
    </row>
    <row r="1437" spans="12:16" ht="15" hidden="1" customHeight="1">
      <c r="L1437" s="43">
        <f t="shared" si="118"/>
        <v>45938</v>
      </c>
      <c r="M1437" s="35">
        <f t="shared" si="119"/>
        <v>0</v>
      </c>
      <c r="N1437" s="35">
        <f t="shared" si="120"/>
        <v>12500</v>
      </c>
      <c r="O1437" s="35">
        <f t="shared" si="121"/>
        <v>0.51369863013698636</v>
      </c>
      <c r="P1437" s="35">
        <f t="shared" si="122"/>
        <v>1.0273972602739727</v>
      </c>
    </row>
    <row r="1438" spans="12:16" ht="15" hidden="1" customHeight="1">
      <c r="L1438" s="43">
        <f t="shared" si="118"/>
        <v>45939</v>
      </c>
      <c r="M1438" s="35">
        <f t="shared" si="119"/>
        <v>0</v>
      </c>
      <c r="N1438" s="35">
        <f t="shared" si="120"/>
        <v>12500</v>
      </c>
      <c r="O1438" s="35">
        <f t="shared" si="121"/>
        <v>0.51369863013698636</v>
      </c>
      <c r="P1438" s="35">
        <f t="shared" si="122"/>
        <v>1.0273972602739727</v>
      </c>
    </row>
    <row r="1439" spans="12:16" ht="15" hidden="1" customHeight="1">
      <c r="L1439" s="43">
        <f t="shared" ref="L1439:L1502" si="123">IFERROR(IF(MAX(L1438+1,Дата_получения_Займа+1)&gt;Дата_погашения_Займа,"-",MAX(L1438+1,Дата_получения_Займа+1)),"-")</f>
        <v>45940</v>
      </c>
      <c r="M1439" s="35">
        <f t="shared" ref="M1439:M1502" si="124">IFERROR(VLOOKUP(L1439,$B$31:$E$59,4,FALSE),0)</f>
        <v>0</v>
      </c>
      <c r="N1439" s="35">
        <f t="shared" ref="N1439:N1502" si="125">IF(ISNUMBER(N1438),N1438-M1439,$E$20)</f>
        <v>12500</v>
      </c>
      <c r="O1439" s="35">
        <f t="shared" ref="O1439:O1502" si="126">IFERROR(IF(ISNUMBER(N1438),N1438,$E$20)*IF(L1439&gt;=$J$20,$E$25,$E$24)/IF(MOD(YEAR(L1439),4),365,366)*IF(ISBLANK(L1438),L1439-$E$22,L1439-L1438),0)</f>
        <v>0.51369863013698636</v>
      </c>
      <c r="P1439" s="35">
        <f t="shared" ref="P1439:P1502" si="127">IFERROR(IF(ISNUMBER(N1438),N1438,$E$20)*3%/IF(MOD(YEAR(L1439),4),365,366)*IF(ISBLANK(L1438),(L1439-$E$22),L1439-L1438),0)</f>
        <v>1.0273972602739727</v>
      </c>
    </row>
    <row r="1440" spans="12:16" ht="15" hidden="1" customHeight="1">
      <c r="L1440" s="43">
        <f t="shared" si="123"/>
        <v>45941</v>
      </c>
      <c r="M1440" s="35">
        <f t="shared" si="124"/>
        <v>0</v>
      </c>
      <c r="N1440" s="35">
        <f t="shared" si="125"/>
        <v>12500</v>
      </c>
      <c r="O1440" s="35">
        <f t="shared" si="126"/>
        <v>0.51369863013698636</v>
      </c>
      <c r="P1440" s="35">
        <f t="shared" si="127"/>
        <v>1.0273972602739727</v>
      </c>
    </row>
    <row r="1441" spans="12:16" ht="15" hidden="1" customHeight="1">
      <c r="L1441" s="43">
        <f t="shared" si="123"/>
        <v>45942</v>
      </c>
      <c r="M1441" s="35">
        <f t="shared" si="124"/>
        <v>0</v>
      </c>
      <c r="N1441" s="35">
        <f t="shared" si="125"/>
        <v>12500</v>
      </c>
      <c r="O1441" s="35">
        <f t="shared" si="126"/>
        <v>0.51369863013698636</v>
      </c>
      <c r="P1441" s="35">
        <f t="shared" si="127"/>
        <v>1.0273972602739727</v>
      </c>
    </row>
    <row r="1442" spans="12:16" ht="15" hidden="1" customHeight="1">
      <c r="L1442" s="43">
        <f t="shared" si="123"/>
        <v>45943</v>
      </c>
      <c r="M1442" s="35">
        <f t="shared" si="124"/>
        <v>0</v>
      </c>
      <c r="N1442" s="35">
        <f t="shared" si="125"/>
        <v>12500</v>
      </c>
      <c r="O1442" s="35">
        <f t="shared" si="126"/>
        <v>0.51369863013698636</v>
      </c>
      <c r="P1442" s="35">
        <f t="shared" si="127"/>
        <v>1.0273972602739727</v>
      </c>
    </row>
    <row r="1443" spans="12:16" ht="15" hidden="1" customHeight="1">
      <c r="L1443" s="43">
        <f t="shared" si="123"/>
        <v>45944</v>
      </c>
      <c r="M1443" s="35">
        <f t="shared" si="124"/>
        <v>0</v>
      </c>
      <c r="N1443" s="35">
        <f t="shared" si="125"/>
        <v>12500</v>
      </c>
      <c r="O1443" s="35">
        <f t="shared" si="126"/>
        <v>0.51369863013698636</v>
      </c>
      <c r="P1443" s="35">
        <f t="shared" si="127"/>
        <v>1.0273972602739727</v>
      </c>
    </row>
    <row r="1444" spans="12:16" ht="15" hidden="1" customHeight="1">
      <c r="L1444" s="43">
        <f t="shared" si="123"/>
        <v>45945</v>
      </c>
      <c r="M1444" s="35">
        <f t="shared" si="124"/>
        <v>0</v>
      </c>
      <c r="N1444" s="35">
        <f t="shared" si="125"/>
        <v>12500</v>
      </c>
      <c r="O1444" s="35">
        <f t="shared" si="126"/>
        <v>0.51369863013698636</v>
      </c>
      <c r="P1444" s="35">
        <f t="shared" si="127"/>
        <v>1.0273972602739727</v>
      </c>
    </row>
    <row r="1445" spans="12:16" ht="15" hidden="1" customHeight="1">
      <c r="L1445" s="43">
        <f t="shared" si="123"/>
        <v>45946</v>
      </c>
      <c r="M1445" s="35">
        <f t="shared" si="124"/>
        <v>0</v>
      </c>
      <c r="N1445" s="35">
        <f t="shared" si="125"/>
        <v>12500</v>
      </c>
      <c r="O1445" s="35">
        <f t="shared" si="126"/>
        <v>0.51369863013698636</v>
      </c>
      <c r="P1445" s="35">
        <f t="shared" si="127"/>
        <v>1.0273972602739727</v>
      </c>
    </row>
    <row r="1446" spans="12:16" ht="15" hidden="1" customHeight="1">
      <c r="L1446" s="43">
        <f t="shared" si="123"/>
        <v>45947</v>
      </c>
      <c r="M1446" s="35">
        <f t="shared" si="124"/>
        <v>0</v>
      </c>
      <c r="N1446" s="35">
        <f t="shared" si="125"/>
        <v>12500</v>
      </c>
      <c r="O1446" s="35">
        <f t="shared" si="126"/>
        <v>0.51369863013698636</v>
      </c>
      <c r="P1446" s="35">
        <f t="shared" si="127"/>
        <v>1.0273972602739727</v>
      </c>
    </row>
    <row r="1447" spans="12:16" ht="15" hidden="1" customHeight="1">
      <c r="L1447" s="43">
        <f t="shared" si="123"/>
        <v>45948</v>
      </c>
      <c r="M1447" s="35">
        <f t="shared" si="124"/>
        <v>0</v>
      </c>
      <c r="N1447" s="35">
        <f t="shared" si="125"/>
        <v>12500</v>
      </c>
      <c r="O1447" s="35">
        <f t="shared" si="126"/>
        <v>0.51369863013698636</v>
      </c>
      <c r="P1447" s="35">
        <f t="shared" si="127"/>
        <v>1.0273972602739727</v>
      </c>
    </row>
    <row r="1448" spans="12:16" ht="15" hidden="1" customHeight="1">
      <c r="L1448" s="43">
        <f t="shared" si="123"/>
        <v>45949</v>
      </c>
      <c r="M1448" s="35">
        <f t="shared" si="124"/>
        <v>0</v>
      </c>
      <c r="N1448" s="35">
        <f t="shared" si="125"/>
        <v>12500</v>
      </c>
      <c r="O1448" s="35">
        <f t="shared" si="126"/>
        <v>0.51369863013698636</v>
      </c>
      <c r="P1448" s="35">
        <f t="shared" si="127"/>
        <v>1.0273972602739727</v>
      </c>
    </row>
    <row r="1449" spans="12:16" ht="15" hidden="1" customHeight="1">
      <c r="L1449" s="43">
        <f t="shared" si="123"/>
        <v>45950</v>
      </c>
      <c r="M1449" s="35">
        <f t="shared" si="124"/>
        <v>0</v>
      </c>
      <c r="N1449" s="35">
        <f t="shared" si="125"/>
        <v>12500</v>
      </c>
      <c r="O1449" s="35">
        <f t="shared" si="126"/>
        <v>0.51369863013698636</v>
      </c>
      <c r="P1449" s="35">
        <f t="shared" si="127"/>
        <v>1.0273972602739727</v>
      </c>
    </row>
    <row r="1450" spans="12:16" ht="15" hidden="1" customHeight="1">
      <c r="L1450" s="43">
        <f t="shared" si="123"/>
        <v>45951</v>
      </c>
      <c r="M1450" s="35">
        <f t="shared" si="124"/>
        <v>0</v>
      </c>
      <c r="N1450" s="35">
        <f t="shared" si="125"/>
        <v>12500</v>
      </c>
      <c r="O1450" s="35">
        <f t="shared" si="126"/>
        <v>0.51369863013698636</v>
      </c>
      <c r="P1450" s="35">
        <f t="shared" si="127"/>
        <v>1.0273972602739727</v>
      </c>
    </row>
    <row r="1451" spans="12:16" ht="15" hidden="1" customHeight="1">
      <c r="L1451" s="43">
        <f t="shared" si="123"/>
        <v>45952</v>
      </c>
      <c r="M1451" s="35">
        <f t="shared" si="124"/>
        <v>0</v>
      </c>
      <c r="N1451" s="35">
        <f t="shared" si="125"/>
        <v>12500</v>
      </c>
      <c r="O1451" s="35">
        <f t="shared" si="126"/>
        <v>0.51369863013698636</v>
      </c>
      <c r="P1451" s="35">
        <f t="shared" si="127"/>
        <v>1.0273972602739727</v>
      </c>
    </row>
    <row r="1452" spans="12:16" ht="15" hidden="1" customHeight="1">
      <c r="L1452" s="43">
        <f t="shared" si="123"/>
        <v>45953</v>
      </c>
      <c r="M1452" s="35">
        <f t="shared" si="124"/>
        <v>0</v>
      </c>
      <c r="N1452" s="35">
        <f t="shared" si="125"/>
        <v>12500</v>
      </c>
      <c r="O1452" s="35">
        <f t="shared" si="126"/>
        <v>0.51369863013698636</v>
      </c>
      <c r="P1452" s="35">
        <f t="shared" si="127"/>
        <v>1.0273972602739727</v>
      </c>
    </row>
    <row r="1453" spans="12:16" ht="15" hidden="1" customHeight="1">
      <c r="L1453" s="43">
        <f t="shared" si="123"/>
        <v>45954</v>
      </c>
      <c r="M1453" s="35">
        <f t="shared" si="124"/>
        <v>0</v>
      </c>
      <c r="N1453" s="35">
        <f t="shared" si="125"/>
        <v>12500</v>
      </c>
      <c r="O1453" s="35">
        <f t="shared" si="126"/>
        <v>0.51369863013698636</v>
      </c>
      <c r="P1453" s="35">
        <f t="shared" si="127"/>
        <v>1.0273972602739727</v>
      </c>
    </row>
    <row r="1454" spans="12:16" ht="15" hidden="1" customHeight="1">
      <c r="L1454" s="43">
        <f t="shared" si="123"/>
        <v>45955</v>
      </c>
      <c r="M1454" s="35">
        <f t="shared" si="124"/>
        <v>0</v>
      </c>
      <c r="N1454" s="35">
        <f t="shared" si="125"/>
        <v>12500</v>
      </c>
      <c r="O1454" s="35">
        <f t="shared" si="126"/>
        <v>0.51369863013698636</v>
      </c>
      <c r="P1454" s="35">
        <f t="shared" si="127"/>
        <v>1.0273972602739727</v>
      </c>
    </row>
    <row r="1455" spans="12:16" ht="15" hidden="1" customHeight="1">
      <c r="L1455" s="43">
        <f t="shared" si="123"/>
        <v>45956</v>
      </c>
      <c r="M1455" s="35">
        <f t="shared" si="124"/>
        <v>0</v>
      </c>
      <c r="N1455" s="35">
        <f t="shared" si="125"/>
        <v>12500</v>
      </c>
      <c r="O1455" s="35">
        <f t="shared" si="126"/>
        <v>0.51369863013698636</v>
      </c>
      <c r="P1455" s="35">
        <f t="shared" si="127"/>
        <v>1.0273972602739727</v>
      </c>
    </row>
    <row r="1456" spans="12:16" ht="15" hidden="1" customHeight="1">
      <c r="L1456" s="43">
        <f t="shared" si="123"/>
        <v>45957</v>
      </c>
      <c r="M1456" s="35">
        <f t="shared" si="124"/>
        <v>0</v>
      </c>
      <c r="N1456" s="35">
        <f t="shared" si="125"/>
        <v>12500</v>
      </c>
      <c r="O1456" s="35">
        <f t="shared" si="126"/>
        <v>0.51369863013698636</v>
      </c>
      <c r="P1456" s="35">
        <f t="shared" si="127"/>
        <v>1.0273972602739727</v>
      </c>
    </row>
    <row r="1457" spans="12:16" ht="15" hidden="1" customHeight="1">
      <c r="L1457" s="43">
        <f t="shared" si="123"/>
        <v>45958</v>
      </c>
      <c r="M1457" s="35">
        <f t="shared" si="124"/>
        <v>0</v>
      </c>
      <c r="N1457" s="35">
        <f t="shared" si="125"/>
        <v>12500</v>
      </c>
      <c r="O1457" s="35">
        <f t="shared" si="126"/>
        <v>0.51369863013698636</v>
      </c>
      <c r="P1457" s="35">
        <f t="shared" si="127"/>
        <v>1.0273972602739727</v>
      </c>
    </row>
    <row r="1458" spans="12:16" ht="15" hidden="1" customHeight="1">
      <c r="L1458" s="43">
        <f t="shared" si="123"/>
        <v>45959</v>
      </c>
      <c r="M1458" s="35">
        <f t="shared" si="124"/>
        <v>0</v>
      </c>
      <c r="N1458" s="35">
        <f t="shared" si="125"/>
        <v>12500</v>
      </c>
      <c r="O1458" s="35">
        <f t="shared" si="126"/>
        <v>0.51369863013698636</v>
      </c>
      <c r="P1458" s="35">
        <f t="shared" si="127"/>
        <v>1.0273972602739727</v>
      </c>
    </row>
    <row r="1459" spans="12:16" ht="15" hidden="1" customHeight="1">
      <c r="L1459" s="43">
        <f t="shared" si="123"/>
        <v>45960</v>
      </c>
      <c r="M1459" s="35">
        <f t="shared" si="124"/>
        <v>0</v>
      </c>
      <c r="N1459" s="35">
        <f t="shared" si="125"/>
        <v>12500</v>
      </c>
      <c r="O1459" s="35">
        <f t="shared" si="126"/>
        <v>0.51369863013698636</v>
      </c>
      <c r="P1459" s="35">
        <f t="shared" si="127"/>
        <v>1.0273972602739727</v>
      </c>
    </row>
    <row r="1460" spans="12:16" ht="15" hidden="1" customHeight="1">
      <c r="L1460" s="43">
        <f t="shared" si="123"/>
        <v>45961</v>
      </c>
      <c r="M1460" s="35">
        <f t="shared" si="124"/>
        <v>0</v>
      </c>
      <c r="N1460" s="35">
        <f t="shared" si="125"/>
        <v>12500</v>
      </c>
      <c r="O1460" s="35">
        <f t="shared" si="126"/>
        <v>0.51369863013698636</v>
      </c>
      <c r="P1460" s="35">
        <f t="shared" si="127"/>
        <v>1.0273972602739727</v>
      </c>
    </row>
    <row r="1461" spans="12:16" ht="15" hidden="1" customHeight="1">
      <c r="L1461" s="43">
        <f t="shared" si="123"/>
        <v>45962</v>
      </c>
      <c r="M1461" s="35">
        <f t="shared" si="124"/>
        <v>0</v>
      </c>
      <c r="N1461" s="35">
        <f t="shared" si="125"/>
        <v>12500</v>
      </c>
      <c r="O1461" s="35">
        <f t="shared" si="126"/>
        <v>0.51369863013698636</v>
      </c>
      <c r="P1461" s="35">
        <f t="shared" si="127"/>
        <v>1.0273972602739727</v>
      </c>
    </row>
    <row r="1462" spans="12:16" ht="15" hidden="1" customHeight="1">
      <c r="L1462" s="43">
        <f t="shared" si="123"/>
        <v>45963</v>
      </c>
      <c r="M1462" s="35">
        <f t="shared" si="124"/>
        <v>0</v>
      </c>
      <c r="N1462" s="35">
        <f t="shared" si="125"/>
        <v>12500</v>
      </c>
      <c r="O1462" s="35">
        <f t="shared" si="126"/>
        <v>0.51369863013698636</v>
      </c>
      <c r="P1462" s="35">
        <f t="shared" si="127"/>
        <v>1.0273972602739727</v>
      </c>
    </row>
    <row r="1463" spans="12:16" ht="15" hidden="1" customHeight="1">
      <c r="L1463" s="43">
        <f t="shared" si="123"/>
        <v>45964</v>
      </c>
      <c r="M1463" s="35">
        <f t="shared" si="124"/>
        <v>0</v>
      </c>
      <c r="N1463" s="35">
        <f t="shared" si="125"/>
        <v>12500</v>
      </c>
      <c r="O1463" s="35">
        <f t="shared" si="126"/>
        <v>0.51369863013698636</v>
      </c>
      <c r="P1463" s="35">
        <f t="shared" si="127"/>
        <v>1.0273972602739727</v>
      </c>
    </row>
    <row r="1464" spans="12:16" ht="15" hidden="1" customHeight="1">
      <c r="L1464" s="43">
        <f t="shared" si="123"/>
        <v>45965</v>
      </c>
      <c r="M1464" s="35">
        <f t="shared" si="124"/>
        <v>0</v>
      </c>
      <c r="N1464" s="35">
        <f t="shared" si="125"/>
        <v>12500</v>
      </c>
      <c r="O1464" s="35">
        <f t="shared" si="126"/>
        <v>0.51369863013698636</v>
      </c>
      <c r="P1464" s="35">
        <f t="shared" si="127"/>
        <v>1.0273972602739727</v>
      </c>
    </row>
    <row r="1465" spans="12:16" ht="15" hidden="1" customHeight="1">
      <c r="L1465" s="43">
        <f t="shared" si="123"/>
        <v>45966</v>
      </c>
      <c r="M1465" s="35">
        <f t="shared" si="124"/>
        <v>0</v>
      </c>
      <c r="N1465" s="35">
        <f t="shared" si="125"/>
        <v>12500</v>
      </c>
      <c r="O1465" s="35">
        <f t="shared" si="126"/>
        <v>0.51369863013698636</v>
      </c>
      <c r="P1465" s="35">
        <f t="shared" si="127"/>
        <v>1.0273972602739727</v>
      </c>
    </row>
    <row r="1466" spans="12:16" ht="15" hidden="1" customHeight="1">
      <c r="L1466" s="43">
        <f t="shared" si="123"/>
        <v>45967</v>
      </c>
      <c r="M1466" s="35">
        <f t="shared" si="124"/>
        <v>0</v>
      </c>
      <c r="N1466" s="35">
        <f t="shared" si="125"/>
        <v>12500</v>
      </c>
      <c r="O1466" s="35">
        <f t="shared" si="126"/>
        <v>0.51369863013698636</v>
      </c>
      <c r="P1466" s="35">
        <f t="shared" si="127"/>
        <v>1.0273972602739727</v>
      </c>
    </row>
    <row r="1467" spans="12:16" ht="15" hidden="1" customHeight="1">
      <c r="L1467" s="43">
        <f t="shared" si="123"/>
        <v>45968</v>
      </c>
      <c r="M1467" s="35">
        <f t="shared" si="124"/>
        <v>0</v>
      </c>
      <c r="N1467" s="35">
        <f t="shared" si="125"/>
        <v>12500</v>
      </c>
      <c r="O1467" s="35">
        <f t="shared" si="126"/>
        <v>0.51369863013698636</v>
      </c>
      <c r="P1467" s="35">
        <f t="shared" si="127"/>
        <v>1.0273972602739727</v>
      </c>
    </row>
    <row r="1468" spans="12:16" ht="15" hidden="1" customHeight="1">
      <c r="L1468" s="43">
        <f t="shared" si="123"/>
        <v>45969</v>
      </c>
      <c r="M1468" s="35">
        <f t="shared" si="124"/>
        <v>0</v>
      </c>
      <c r="N1468" s="35">
        <f t="shared" si="125"/>
        <v>12500</v>
      </c>
      <c r="O1468" s="35">
        <f t="shared" si="126"/>
        <v>0.51369863013698636</v>
      </c>
      <c r="P1468" s="35">
        <f t="shared" si="127"/>
        <v>1.0273972602739727</v>
      </c>
    </row>
    <row r="1469" spans="12:16" ht="15" hidden="1" customHeight="1">
      <c r="L1469" s="43">
        <f t="shared" si="123"/>
        <v>45970</v>
      </c>
      <c r="M1469" s="35">
        <f t="shared" si="124"/>
        <v>0</v>
      </c>
      <c r="N1469" s="35">
        <f t="shared" si="125"/>
        <v>12500</v>
      </c>
      <c r="O1469" s="35">
        <f t="shared" si="126"/>
        <v>0.51369863013698636</v>
      </c>
      <c r="P1469" s="35">
        <f t="shared" si="127"/>
        <v>1.0273972602739727</v>
      </c>
    </row>
    <row r="1470" spans="12:16" ht="15" hidden="1" customHeight="1">
      <c r="L1470" s="43">
        <f t="shared" si="123"/>
        <v>45971</v>
      </c>
      <c r="M1470" s="35">
        <f t="shared" si="124"/>
        <v>0</v>
      </c>
      <c r="N1470" s="35">
        <f t="shared" si="125"/>
        <v>12500</v>
      </c>
      <c r="O1470" s="35">
        <f t="shared" si="126"/>
        <v>0.51369863013698636</v>
      </c>
      <c r="P1470" s="35">
        <f t="shared" si="127"/>
        <v>1.0273972602739727</v>
      </c>
    </row>
    <row r="1471" spans="12:16" ht="15" hidden="1" customHeight="1">
      <c r="L1471" s="43">
        <f t="shared" si="123"/>
        <v>45972</v>
      </c>
      <c r="M1471" s="35">
        <f t="shared" si="124"/>
        <v>0</v>
      </c>
      <c r="N1471" s="35">
        <f t="shared" si="125"/>
        <v>12500</v>
      </c>
      <c r="O1471" s="35">
        <f t="shared" si="126"/>
        <v>0.51369863013698636</v>
      </c>
      <c r="P1471" s="35">
        <f t="shared" si="127"/>
        <v>1.0273972602739727</v>
      </c>
    </row>
    <row r="1472" spans="12:16" ht="15" hidden="1" customHeight="1">
      <c r="L1472" s="43">
        <f t="shared" si="123"/>
        <v>45973</v>
      </c>
      <c r="M1472" s="35">
        <f t="shared" si="124"/>
        <v>0</v>
      </c>
      <c r="N1472" s="35">
        <f t="shared" si="125"/>
        <v>12500</v>
      </c>
      <c r="O1472" s="35">
        <f t="shared" si="126"/>
        <v>0.51369863013698636</v>
      </c>
      <c r="P1472" s="35">
        <f t="shared" si="127"/>
        <v>1.0273972602739727</v>
      </c>
    </row>
    <row r="1473" spans="12:16" ht="15" hidden="1" customHeight="1">
      <c r="L1473" s="43">
        <f t="shared" si="123"/>
        <v>45974</v>
      </c>
      <c r="M1473" s="35">
        <f t="shared" si="124"/>
        <v>0</v>
      </c>
      <c r="N1473" s="35">
        <f t="shared" si="125"/>
        <v>12500</v>
      </c>
      <c r="O1473" s="35">
        <f t="shared" si="126"/>
        <v>0.51369863013698636</v>
      </c>
      <c r="P1473" s="35">
        <f t="shared" si="127"/>
        <v>1.0273972602739727</v>
      </c>
    </row>
    <row r="1474" spans="12:16" ht="15" hidden="1" customHeight="1">
      <c r="L1474" s="43">
        <f t="shared" si="123"/>
        <v>45975</v>
      </c>
      <c r="M1474" s="35">
        <f t="shared" si="124"/>
        <v>0</v>
      </c>
      <c r="N1474" s="35">
        <f t="shared" si="125"/>
        <v>12500</v>
      </c>
      <c r="O1474" s="35">
        <f t="shared" si="126"/>
        <v>0.51369863013698636</v>
      </c>
      <c r="P1474" s="35">
        <f t="shared" si="127"/>
        <v>1.0273972602739727</v>
      </c>
    </row>
    <row r="1475" spans="12:16" ht="15" hidden="1" customHeight="1">
      <c r="L1475" s="43">
        <f t="shared" si="123"/>
        <v>45976</v>
      </c>
      <c r="M1475" s="35">
        <f t="shared" si="124"/>
        <v>0</v>
      </c>
      <c r="N1475" s="35">
        <f t="shared" si="125"/>
        <v>12500</v>
      </c>
      <c r="O1475" s="35">
        <f t="shared" si="126"/>
        <v>0.51369863013698636</v>
      </c>
      <c r="P1475" s="35">
        <f t="shared" si="127"/>
        <v>1.0273972602739727</v>
      </c>
    </row>
    <row r="1476" spans="12:16" ht="15" hidden="1" customHeight="1">
      <c r="L1476" s="43">
        <f t="shared" si="123"/>
        <v>45977</v>
      </c>
      <c r="M1476" s="35">
        <f t="shared" si="124"/>
        <v>0</v>
      </c>
      <c r="N1476" s="35">
        <f t="shared" si="125"/>
        <v>12500</v>
      </c>
      <c r="O1476" s="35">
        <f t="shared" si="126"/>
        <v>0.51369863013698636</v>
      </c>
      <c r="P1476" s="35">
        <f t="shared" si="127"/>
        <v>1.0273972602739727</v>
      </c>
    </row>
    <row r="1477" spans="12:16" ht="15" hidden="1" customHeight="1">
      <c r="L1477" s="43">
        <f t="shared" si="123"/>
        <v>45978</v>
      </c>
      <c r="M1477" s="35">
        <f t="shared" si="124"/>
        <v>0</v>
      </c>
      <c r="N1477" s="35">
        <f t="shared" si="125"/>
        <v>12500</v>
      </c>
      <c r="O1477" s="35">
        <f t="shared" si="126"/>
        <v>0.51369863013698636</v>
      </c>
      <c r="P1477" s="35">
        <f t="shared" si="127"/>
        <v>1.0273972602739727</v>
      </c>
    </row>
    <row r="1478" spans="12:16" ht="15" hidden="1" customHeight="1">
      <c r="L1478" s="43">
        <f t="shared" si="123"/>
        <v>45979</v>
      </c>
      <c r="M1478" s="35">
        <f t="shared" si="124"/>
        <v>0</v>
      </c>
      <c r="N1478" s="35">
        <f t="shared" si="125"/>
        <v>12500</v>
      </c>
      <c r="O1478" s="35">
        <f t="shared" si="126"/>
        <v>0.51369863013698636</v>
      </c>
      <c r="P1478" s="35">
        <f t="shared" si="127"/>
        <v>1.0273972602739727</v>
      </c>
    </row>
    <row r="1479" spans="12:16" ht="15" hidden="1" customHeight="1">
      <c r="L1479" s="43">
        <f t="shared" si="123"/>
        <v>45980</v>
      </c>
      <c r="M1479" s="35">
        <f t="shared" si="124"/>
        <v>0</v>
      </c>
      <c r="N1479" s="35">
        <f t="shared" si="125"/>
        <v>12500</v>
      </c>
      <c r="O1479" s="35">
        <f t="shared" si="126"/>
        <v>0.51369863013698636</v>
      </c>
      <c r="P1479" s="35">
        <f t="shared" si="127"/>
        <v>1.0273972602739727</v>
      </c>
    </row>
    <row r="1480" spans="12:16" ht="15" hidden="1" customHeight="1">
      <c r="L1480" s="43">
        <f t="shared" si="123"/>
        <v>45981</v>
      </c>
      <c r="M1480" s="35">
        <f t="shared" si="124"/>
        <v>0</v>
      </c>
      <c r="N1480" s="35">
        <f t="shared" si="125"/>
        <v>12500</v>
      </c>
      <c r="O1480" s="35">
        <f t="shared" si="126"/>
        <v>0.51369863013698636</v>
      </c>
      <c r="P1480" s="35">
        <f t="shared" si="127"/>
        <v>1.0273972602739727</v>
      </c>
    </row>
    <row r="1481" spans="12:16" ht="15" hidden="1" customHeight="1">
      <c r="L1481" s="43">
        <f t="shared" si="123"/>
        <v>45982</v>
      </c>
      <c r="M1481" s="35">
        <f t="shared" si="124"/>
        <v>0</v>
      </c>
      <c r="N1481" s="35">
        <f t="shared" si="125"/>
        <v>12500</v>
      </c>
      <c r="O1481" s="35">
        <f t="shared" si="126"/>
        <v>0.51369863013698636</v>
      </c>
      <c r="P1481" s="35">
        <f t="shared" si="127"/>
        <v>1.0273972602739727</v>
      </c>
    </row>
    <row r="1482" spans="12:16" ht="15" hidden="1" customHeight="1">
      <c r="L1482" s="43">
        <f t="shared" si="123"/>
        <v>45983</v>
      </c>
      <c r="M1482" s="35">
        <f t="shared" si="124"/>
        <v>0</v>
      </c>
      <c r="N1482" s="35">
        <f t="shared" si="125"/>
        <v>12500</v>
      </c>
      <c r="O1482" s="35">
        <f t="shared" si="126"/>
        <v>0.51369863013698636</v>
      </c>
      <c r="P1482" s="35">
        <f t="shared" si="127"/>
        <v>1.0273972602739727</v>
      </c>
    </row>
    <row r="1483" spans="12:16" ht="15" hidden="1" customHeight="1">
      <c r="L1483" s="43">
        <f t="shared" si="123"/>
        <v>45984</v>
      </c>
      <c r="M1483" s="35">
        <f t="shared" si="124"/>
        <v>0</v>
      </c>
      <c r="N1483" s="35">
        <f t="shared" si="125"/>
        <v>12500</v>
      </c>
      <c r="O1483" s="35">
        <f t="shared" si="126"/>
        <v>0.51369863013698636</v>
      </c>
      <c r="P1483" s="35">
        <f t="shared" si="127"/>
        <v>1.0273972602739727</v>
      </c>
    </row>
    <row r="1484" spans="12:16" ht="15" hidden="1" customHeight="1">
      <c r="L1484" s="43">
        <f t="shared" si="123"/>
        <v>45985</v>
      </c>
      <c r="M1484" s="35">
        <f t="shared" si="124"/>
        <v>0</v>
      </c>
      <c r="N1484" s="35">
        <f t="shared" si="125"/>
        <v>12500</v>
      </c>
      <c r="O1484" s="35">
        <f t="shared" si="126"/>
        <v>0.51369863013698636</v>
      </c>
      <c r="P1484" s="35">
        <f t="shared" si="127"/>
        <v>1.0273972602739727</v>
      </c>
    </row>
    <row r="1485" spans="12:16" ht="15" hidden="1" customHeight="1">
      <c r="L1485" s="43">
        <f t="shared" si="123"/>
        <v>45986</v>
      </c>
      <c r="M1485" s="35">
        <f t="shared" si="124"/>
        <v>0</v>
      </c>
      <c r="N1485" s="35">
        <f t="shared" si="125"/>
        <v>12500</v>
      </c>
      <c r="O1485" s="35">
        <f t="shared" si="126"/>
        <v>0.51369863013698636</v>
      </c>
      <c r="P1485" s="35">
        <f t="shared" si="127"/>
        <v>1.0273972602739727</v>
      </c>
    </row>
    <row r="1486" spans="12:16" ht="15" hidden="1" customHeight="1">
      <c r="L1486" s="43">
        <f t="shared" si="123"/>
        <v>45987</v>
      </c>
      <c r="M1486" s="35">
        <f t="shared" si="124"/>
        <v>0</v>
      </c>
      <c r="N1486" s="35">
        <f t="shared" si="125"/>
        <v>12500</v>
      </c>
      <c r="O1486" s="35">
        <f t="shared" si="126"/>
        <v>0.51369863013698636</v>
      </c>
      <c r="P1486" s="35">
        <f t="shared" si="127"/>
        <v>1.0273972602739727</v>
      </c>
    </row>
    <row r="1487" spans="12:16" ht="15" hidden="1" customHeight="1">
      <c r="L1487" s="43">
        <f t="shared" si="123"/>
        <v>45988</v>
      </c>
      <c r="M1487" s="35">
        <f t="shared" si="124"/>
        <v>0</v>
      </c>
      <c r="N1487" s="35">
        <f t="shared" si="125"/>
        <v>12500</v>
      </c>
      <c r="O1487" s="35">
        <f t="shared" si="126"/>
        <v>0.51369863013698636</v>
      </c>
      <c r="P1487" s="35">
        <f t="shared" si="127"/>
        <v>1.0273972602739727</v>
      </c>
    </row>
    <row r="1488" spans="12:16" ht="15" hidden="1" customHeight="1">
      <c r="L1488" s="43">
        <f t="shared" si="123"/>
        <v>45989</v>
      </c>
      <c r="M1488" s="35">
        <f t="shared" si="124"/>
        <v>0</v>
      </c>
      <c r="N1488" s="35">
        <f t="shared" si="125"/>
        <v>12500</v>
      </c>
      <c r="O1488" s="35">
        <f t="shared" si="126"/>
        <v>0.51369863013698636</v>
      </c>
      <c r="P1488" s="35">
        <f t="shared" si="127"/>
        <v>1.0273972602739727</v>
      </c>
    </row>
    <row r="1489" spans="12:16" ht="15" hidden="1" customHeight="1">
      <c r="L1489" s="43">
        <f t="shared" si="123"/>
        <v>45990</v>
      </c>
      <c r="M1489" s="35">
        <f t="shared" si="124"/>
        <v>0</v>
      </c>
      <c r="N1489" s="35">
        <f t="shared" si="125"/>
        <v>12500</v>
      </c>
      <c r="O1489" s="35">
        <f t="shared" si="126"/>
        <v>0.51369863013698636</v>
      </c>
      <c r="P1489" s="35">
        <f t="shared" si="127"/>
        <v>1.0273972602739727</v>
      </c>
    </row>
    <row r="1490" spans="12:16" ht="15" hidden="1" customHeight="1">
      <c r="L1490" s="43">
        <f t="shared" si="123"/>
        <v>45991</v>
      </c>
      <c r="M1490" s="35">
        <f t="shared" si="124"/>
        <v>0</v>
      </c>
      <c r="N1490" s="35">
        <f t="shared" si="125"/>
        <v>12500</v>
      </c>
      <c r="O1490" s="35">
        <f t="shared" si="126"/>
        <v>0.51369863013698636</v>
      </c>
      <c r="P1490" s="35">
        <f t="shared" si="127"/>
        <v>1.0273972602739727</v>
      </c>
    </row>
    <row r="1491" spans="12:16" ht="15" hidden="1" customHeight="1">
      <c r="L1491" s="43">
        <f t="shared" si="123"/>
        <v>45992</v>
      </c>
      <c r="M1491" s="35">
        <f t="shared" si="124"/>
        <v>0</v>
      </c>
      <c r="N1491" s="35">
        <f t="shared" si="125"/>
        <v>12500</v>
      </c>
      <c r="O1491" s="35">
        <f t="shared" si="126"/>
        <v>0.51369863013698636</v>
      </c>
      <c r="P1491" s="35">
        <f t="shared" si="127"/>
        <v>1.0273972602739727</v>
      </c>
    </row>
    <row r="1492" spans="12:16" ht="15" hidden="1" customHeight="1">
      <c r="L1492" s="43">
        <f t="shared" si="123"/>
        <v>45993</v>
      </c>
      <c r="M1492" s="35">
        <f t="shared" si="124"/>
        <v>0</v>
      </c>
      <c r="N1492" s="35">
        <f t="shared" si="125"/>
        <v>12500</v>
      </c>
      <c r="O1492" s="35">
        <f t="shared" si="126"/>
        <v>0.51369863013698636</v>
      </c>
      <c r="P1492" s="35">
        <f t="shared" si="127"/>
        <v>1.0273972602739727</v>
      </c>
    </row>
    <row r="1493" spans="12:16" ht="15" hidden="1" customHeight="1">
      <c r="L1493" s="43">
        <f t="shared" si="123"/>
        <v>45994</v>
      </c>
      <c r="M1493" s="35">
        <f t="shared" si="124"/>
        <v>0</v>
      </c>
      <c r="N1493" s="35">
        <f t="shared" si="125"/>
        <v>12500</v>
      </c>
      <c r="O1493" s="35">
        <f t="shared" si="126"/>
        <v>0.51369863013698636</v>
      </c>
      <c r="P1493" s="35">
        <f t="shared" si="127"/>
        <v>1.0273972602739727</v>
      </c>
    </row>
    <row r="1494" spans="12:16" ht="15" hidden="1" customHeight="1">
      <c r="L1494" s="43">
        <f t="shared" si="123"/>
        <v>45995</v>
      </c>
      <c r="M1494" s="35">
        <f t="shared" si="124"/>
        <v>0</v>
      </c>
      <c r="N1494" s="35">
        <f t="shared" si="125"/>
        <v>12500</v>
      </c>
      <c r="O1494" s="35">
        <f t="shared" si="126"/>
        <v>0.51369863013698636</v>
      </c>
      <c r="P1494" s="35">
        <f t="shared" si="127"/>
        <v>1.0273972602739727</v>
      </c>
    </row>
    <row r="1495" spans="12:16" ht="15" hidden="1" customHeight="1">
      <c r="L1495" s="43">
        <f t="shared" si="123"/>
        <v>45996</v>
      </c>
      <c r="M1495" s="35">
        <f t="shared" si="124"/>
        <v>0</v>
      </c>
      <c r="N1495" s="35">
        <f t="shared" si="125"/>
        <v>12500</v>
      </c>
      <c r="O1495" s="35">
        <f t="shared" si="126"/>
        <v>0.51369863013698636</v>
      </c>
      <c r="P1495" s="35">
        <f t="shared" si="127"/>
        <v>1.0273972602739727</v>
      </c>
    </row>
    <row r="1496" spans="12:16" ht="15" hidden="1" customHeight="1">
      <c r="L1496" s="43">
        <f t="shared" si="123"/>
        <v>45997</v>
      </c>
      <c r="M1496" s="35">
        <f t="shared" si="124"/>
        <v>0</v>
      </c>
      <c r="N1496" s="35">
        <f t="shared" si="125"/>
        <v>12500</v>
      </c>
      <c r="O1496" s="35">
        <f t="shared" si="126"/>
        <v>0.51369863013698636</v>
      </c>
      <c r="P1496" s="35">
        <f t="shared" si="127"/>
        <v>1.0273972602739727</v>
      </c>
    </row>
    <row r="1497" spans="12:16" ht="15" hidden="1" customHeight="1">
      <c r="L1497" s="43">
        <f t="shared" si="123"/>
        <v>45998</v>
      </c>
      <c r="M1497" s="35">
        <f t="shared" si="124"/>
        <v>0</v>
      </c>
      <c r="N1497" s="35">
        <f t="shared" si="125"/>
        <v>12500</v>
      </c>
      <c r="O1497" s="35">
        <f t="shared" si="126"/>
        <v>0.51369863013698636</v>
      </c>
      <c r="P1497" s="35">
        <f t="shared" si="127"/>
        <v>1.0273972602739727</v>
      </c>
    </row>
    <row r="1498" spans="12:16" ht="15" hidden="1" customHeight="1">
      <c r="L1498" s="43">
        <f t="shared" si="123"/>
        <v>45999</v>
      </c>
      <c r="M1498" s="35">
        <f t="shared" si="124"/>
        <v>0</v>
      </c>
      <c r="N1498" s="35">
        <f t="shared" si="125"/>
        <v>12500</v>
      </c>
      <c r="O1498" s="35">
        <f t="shared" si="126"/>
        <v>0.51369863013698636</v>
      </c>
      <c r="P1498" s="35">
        <f t="shared" si="127"/>
        <v>1.0273972602739727</v>
      </c>
    </row>
    <row r="1499" spans="12:16" ht="15" hidden="1" customHeight="1">
      <c r="L1499" s="43">
        <f t="shared" si="123"/>
        <v>46000</v>
      </c>
      <c r="M1499" s="35">
        <f t="shared" si="124"/>
        <v>0</v>
      </c>
      <c r="N1499" s="35">
        <f t="shared" si="125"/>
        <v>12500</v>
      </c>
      <c r="O1499" s="35">
        <f t="shared" si="126"/>
        <v>0.51369863013698636</v>
      </c>
      <c r="P1499" s="35">
        <f t="shared" si="127"/>
        <v>1.0273972602739727</v>
      </c>
    </row>
    <row r="1500" spans="12:16" ht="15" hidden="1" customHeight="1">
      <c r="L1500" s="43">
        <f t="shared" si="123"/>
        <v>46001</v>
      </c>
      <c r="M1500" s="35">
        <f t="shared" si="124"/>
        <v>0</v>
      </c>
      <c r="N1500" s="35">
        <f t="shared" si="125"/>
        <v>12500</v>
      </c>
      <c r="O1500" s="35">
        <f t="shared" si="126"/>
        <v>0.51369863013698636</v>
      </c>
      <c r="P1500" s="35">
        <f t="shared" si="127"/>
        <v>1.0273972602739727</v>
      </c>
    </row>
    <row r="1501" spans="12:16" ht="15" hidden="1" customHeight="1">
      <c r="L1501" s="43">
        <f t="shared" si="123"/>
        <v>46002</v>
      </c>
      <c r="M1501" s="35">
        <f t="shared" si="124"/>
        <v>0</v>
      </c>
      <c r="N1501" s="35">
        <f t="shared" si="125"/>
        <v>12500</v>
      </c>
      <c r="O1501" s="35">
        <f t="shared" si="126"/>
        <v>0.51369863013698636</v>
      </c>
      <c r="P1501" s="35">
        <f t="shared" si="127"/>
        <v>1.0273972602739727</v>
      </c>
    </row>
    <row r="1502" spans="12:16" ht="15" hidden="1" customHeight="1">
      <c r="L1502" s="43">
        <f t="shared" si="123"/>
        <v>46003</v>
      </c>
      <c r="M1502" s="35">
        <f t="shared" si="124"/>
        <v>0</v>
      </c>
      <c r="N1502" s="35">
        <f t="shared" si="125"/>
        <v>12500</v>
      </c>
      <c r="O1502" s="35">
        <f t="shared" si="126"/>
        <v>0.51369863013698636</v>
      </c>
      <c r="P1502" s="35">
        <f t="shared" si="127"/>
        <v>1.0273972602739727</v>
      </c>
    </row>
    <row r="1503" spans="12:16" ht="15" hidden="1" customHeight="1">
      <c r="L1503" s="43">
        <f t="shared" ref="L1503:L1566" si="128">IFERROR(IF(MAX(L1502+1,Дата_получения_Займа+1)&gt;Дата_погашения_Займа,"-",MAX(L1502+1,Дата_получения_Займа+1)),"-")</f>
        <v>46004</v>
      </c>
      <c r="M1503" s="35">
        <f t="shared" ref="M1503:M1566" si="129">IFERROR(VLOOKUP(L1503,$B$31:$E$59,4,FALSE),0)</f>
        <v>0</v>
      </c>
      <c r="N1503" s="35">
        <f t="shared" ref="N1503:N1566" si="130">IF(ISNUMBER(N1502),N1502-M1503,$E$20)</f>
        <v>12500</v>
      </c>
      <c r="O1503" s="35">
        <f t="shared" ref="O1503:O1566" si="131">IFERROR(IF(ISNUMBER(N1502),N1502,$E$20)*IF(L1503&gt;=$J$20,$E$25,$E$24)/IF(MOD(YEAR(L1503),4),365,366)*IF(ISBLANK(L1502),L1503-$E$22,L1503-L1502),0)</f>
        <v>0.51369863013698636</v>
      </c>
      <c r="P1503" s="35">
        <f t="shared" ref="P1503:P1566" si="132">IFERROR(IF(ISNUMBER(N1502),N1502,$E$20)*3%/IF(MOD(YEAR(L1503),4),365,366)*IF(ISBLANK(L1502),(L1503-$E$22),L1503-L1502),0)</f>
        <v>1.0273972602739727</v>
      </c>
    </row>
    <row r="1504" spans="12:16" ht="15" hidden="1" customHeight="1">
      <c r="L1504" s="43">
        <f t="shared" si="128"/>
        <v>46005</v>
      </c>
      <c r="M1504" s="35">
        <f t="shared" si="129"/>
        <v>0</v>
      </c>
      <c r="N1504" s="35">
        <f t="shared" si="130"/>
        <v>12500</v>
      </c>
      <c r="O1504" s="35">
        <f t="shared" si="131"/>
        <v>0.51369863013698636</v>
      </c>
      <c r="P1504" s="35">
        <f t="shared" si="132"/>
        <v>1.0273972602739727</v>
      </c>
    </row>
    <row r="1505" spans="12:16" ht="15" hidden="1" customHeight="1">
      <c r="L1505" s="43">
        <f t="shared" si="128"/>
        <v>46006</v>
      </c>
      <c r="M1505" s="35">
        <f t="shared" si="129"/>
        <v>0</v>
      </c>
      <c r="N1505" s="35">
        <f t="shared" si="130"/>
        <v>12500</v>
      </c>
      <c r="O1505" s="35">
        <f t="shared" si="131"/>
        <v>0.51369863013698636</v>
      </c>
      <c r="P1505" s="35">
        <f t="shared" si="132"/>
        <v>1.0273972602739727</v>
      </c>
    </row>
    <row r="1506" spans="12:16" ht="15" hidden="1" customHeight="1">
      <c r="L1506" s="43">
        <f t="shared" si="128"/>
        <v>46007</v>
      </c>
      <c r="M1506" s="35">
        <f t="shared" si="129"/>
        <v>0</v>
      </c>
      <c r="N1506" s="35">
        <f t="shared" si="130"/>
        <v>12500</v>
      </c>
      <c r="O1506" s="35">
        <f t="shared" si="131"/>
        <v>0.51369863013698636</v>
      </c>
      <c r="P1506" s="35">
        <f t="shared" si="132"/>
        <v>1.0273972602739727</v>
      </c>
    </row>
    <row r="1507" spans="12:16" ht="15" hidden="1" customHeight="1">
      <c r="L1507" s="43">
        <f t="shared" si="128"/>
        <v>46008</v>
      </c>
      <c r="M1507" s="35">
        <f t="shared" si="129"/>
        <v>0</v>
      </c>
      <c r="N1507" s="35">
        <f t="shared" si="130"/>
        <v>12500</v>
      </c>
      <c r="O1507" s="35">
        <f t="shared" si="131"/>
        <v>0.51369863013698636</v>
      </c>
      <c r="P1507" s="35">
        <f t="shared" si="132"/>
        <v>1.0273972602739727</v>
      </c>
    </row>
    <row r="1508" spans="12:16" ht="15" hidden="1" customHeight="1">
      <c r="L1508" s="43">
        <f t="shared" si="128"/>
        <v>46009</v>
      </c>
      <c r="M1508" s="35">
        <f t="shared" si="129"/>
        <v>0</v>
      </c>
      <c r="N1508" s="35">
        <f t="shared" si="130"/>
        <v>12500</v>
      </c>
      <c r="O1508" s="35">
        <f t="shared" si="131"/>
        <v>0.51369863013698636</v>
      </c>
      <c r="P1508" s="35">
        <f t="shared" si="132"/>
        <v>1.0273972602739727</v>
      </c>
    </row>
    <row r="1509" spans="12:16" ht="15" hidden="1" customHeight="1">
      <c r="L1509" s="43">
        <f t="shared" si="128"/>
        <v>46010</v>
      </c>
      <c r="M1509" s="35">
        <f t="shared" si="129"/>
        <v>0</v>
      </c>
      <c r="N1509" s="35">
        <f t="shared" si="130"/>
        <v>12500</v>
      </c>
      <c r="O1509" s="35">
        <f t="shared" si="131"/>
        <v>0.51369863013698636</v>
      </c>
      <c r="P1509" s="35">
        <f t="shared" si="132"/>
        <v>1.0273972602739727</v>
      </c>
    </row>
    <row r="1510" spans="12:16" ht="15" hidden="1" customHeight="1">
      <c r="L1510" s="43">
        <f t="shared" si="128"/>
        <v>46011</v>
      </c>
      <c r="M1510" s="35">
        <f t="shared" si="129"/>
        <v>0</v>
      </c>
      <c r="N1510" s="35">
        <f t="shared" si="130"/>
        <v>12500</v>
      </c>
      <c r="O1510" s="35">
        <f t="shared" si="131"/>
        <v>0.51369863013698636</v>
      </c>
      <c r="P1510" s="35">
        <f t="shared" si="132"/>
        <v>1.0273972602739727</v>
      </c>
    </row>
    <row r="1511" spans="12:16" ht="15" hidden="1" customHeight="1">
      <c r="L1511" s="43">
        <f t="shared" si="128"/>
        <v>46012</v>
      </c>
      <c r="M1511" s="35">
        <f t="shared" si="129"/>
        <v>0</v>
      </c>
      <c r="N1511" s="35">
        <f t="shared" si="130"/>
        <v>12500</v>
      </c>
      <c r="O1511" s="35">
        <f t="shared" si="131"/>
        <v>0.51369863013698636</v>
      </c>
      <c r="P1511" s="35">
        <f t="shared" si="132"/>
        <v>1.0273972602739727</v>
      </c>
    </row>
    <row r="1512" spans="12:16" ht="15" hidden="1" customHeight="1">
      <c r="L1512" s="43">
        <f t="shared" si="128"/>
        <v>46013</v>
      </c>
      <c r="M1512" s="35">
        <f t="shared" si="129"/>
        <v>0</v>
      </c>
      <c r="N1512" s="35">
        <f t="shared" si="130"/>
        <v>12500</v>
      </c>
      <c r="O1512" s="35">
        <f t="shared" si="131"/>
        <v>0.51369863013698636</v>
      </c>
      <c r="P1512" s="35">
        <f t="shared" si="132"/>
        <v>1.0273972602739727</v>
      </c>
    </row>
    <row r="1513" spans="12:16" ht="15" hidden="1" customHeight="1">
      <c r="L1513" s="43">
        <f t="shared" si="128"/>
        <v>46014</v>
      </c>
      <c r="M1513" s="35">
        <f t="shared" si="129"/>
        <v>0</v>
      </c>
      <c r="N1513" s="35">
        <f t="shared" si="130"/>
        <v>12500</v>
      </c>
      <c r="O1513" s="35">
        <f t="shared" si="131"/>
        <v>0.51369863013698636</v>
      </c>
      <c r="P1513" s="35">
        <f t="shared" si="132"/>
        <v>1.0273972602739727</v>
      </c>
    </row>
    <row r="1514" spans="12:16" ht="15" hidden="1" customHeight="1">
      <c r="L1514" s="43">
        <f t="shared" si="128"/>
        <v>46015</v>
      </c>
      <c r="M1514" s="35">
        <f t="shared" si="129"/>
        <v>0</v>
      </c>
      <c r="N1514" s="35">
        <f t="shared" si="130"/>
        <v>12500</v>
      </c>
      <c r="O1514" s="35">
        <f t="shared" si="131"/>
        <v>0.51369863013698636</v>
      </c>
      <c r="P1514" s="35">
        <f t="shared" si="132"/>
        <v>1.0273972602739727</v>
      </c>
    </row>
    <row r="1515" spans="12:16" ht="15" hidden="1" customHeight="1">
      <c r="L1515" s="43">
        <f t="shared" si="128"/>
        <v>46016</v>
      </c>
      <c r="M1515" s="35">
        <f t="shared" si="129"/>
        <v>0</v>
      </c>
      <c r="N1515" s="35">
        <f t="shared" si="130"/>
        <v>12500</v>
      </c>
      <c r="O1515" s="35">
        <f t="shared" si="131"/>
        <v>0.51369863013698636</v>
      </c>
      <c r="P1515" s="35">
        <f t="shared" si="132"/>
        <v>1.0273972602739727</v>
      </c>
    </row>
    <row r="1516" spans="12:16" ht="15" hidden="1" customHeight="1">
      <c r="L1516" s="43">
        <f t="shared" si="128"/>
        <v>46017</v>
      </c>
      <c r="M1516" s="35">
        <f t="shared" si="129"/>
        <v>0</v>
      </c>
      <c r="N1516" s="35">
        <f t="shared" si="130"/>
        <v>12500</v>
      </c>
      <c r="O1516" s="35">
        <f t="shared" si="131"/>
        <v>0.51369863013698636</v>
      </c>
      <c r="P1516" s="35">
        <f t="shared" si="132"/>
        <v>1.0273972602739727</v>
      </c>
    </row>
    <row r="1517" spans="12:16" ht="15" hidden="1" customHeight="1">
      <c r="L1517" s="43">
        <f t="shared" si="128"/>
        <v>46018</v>
      </c>
      <c r="M1517" s="35">
        <f t="shared" si="129"/>
        <v>0</v>
      </c>
      <c r="N1517" s="35">
        <f t="shared" si="130"/>
        <v>12500</v>
      </c>
      <c r="O1517" s="35">
        <f t="shared" si="131"/>
        <v>0.51369863013698636</v>
      </c>
      <c r="P1517" s="35">
        <f t="shared" si="132"/>
        <v>1.0273972602739727</v>
      </c>
    </row>
    <row r="1518" spans="12:16" ht="15" hidden="1" customHeight="1">
      <c r="L1518" s="43">
        <f t="shared" si="128"/>
        <v>46019</v>
      </c>
      <c r="M1518" s="35">
        <f t="shared" si="129"/>
        <v>0</v>
      </c>
      <c r="N1518" s="35">
        <f t="shared" si="130"/>
        <v>12500</v>
      </c>
      <c r="O1518" s="35">
        <f t="shared" si="131"/>
        <v>0.51369863013698636</v>
      </c>
      <c r="P1518" s="35">
        <f t="shared" si="132"/>
        <v>1.0273972602739727</v>
      </c>
    </row>
    <row r="1519" spans="12:16" ht="15" hidden="1" customHeight="1">
      <c r="L1519" s="43">
        <f t="shared" si="128"/>
        <v>46020</v>
      </c>
      <c r="M1519" s="35">
        <f t="shared" si="129"/>
        <v>0</v>
      </c>
      <c r="N1519" s="35">
        <f t="shared" si="130"/>
        <v>12500</v>
      </c>
      <c r="O1519" s="35">
        <f t="shared" si="131"/>
        <v>0.51369863013698636</v>
      </c>
      <c r="P1519" s="35">
        <f t="shared" si="132"/>
        <v>1.0273972602739727</v>
      </c>
    </row>
    <row r="1520" spans="12:16" ht="15" hidden="1" customHeight="1">
      <c r="L1520" s="43">
        <f t="shared" si="128"/>
        <v>46021</v>
      </c>
      <c r="M1520" s="35">
        <f t="shared" si="129"/>
        <v>0</v>
      </c>
      <c r="N1520" s="35">
        <f t="shared" si="130"/>
        <v>12500</v>
      </c>
      <c r="O1520" s="35">
        <f t="shared" si="131"/>
        <v>0.51369863013698636</v>
      </c>
      <c r="P1520" s="35">
        <f t="shared" si="132"/>
        <v>1.0273972602739727</v>
      </c>
    </row>
    <row r="1521" spans="12:16" ht="15" hidden="1" customHeight="1">
      <c r="L1521" s="43">
        <f t="shared" si="128"/>
        <v>46022</v>
      </c>
      <c r="M1521" s="35">
        <f t="shared" si="129"/>
        <v>0</v>
      </c>
      <c r="N1521" s="35">
        <f t="shared" si="130"/>
        <v>12500</v>
      </c>
      <c r="O1521" s="35">
        <f t="shared" si="131"/>
        <v>0.51369863013698636</v>
      </c>
      <c r="P1521" s="35">
        <f t="shared" si="132"/>
        <v>1.0273972602739727</v>
      </c>
    </row>
    <row r="1522" spans="12:16" ht="15" hidden="1" customHeight="1">
      <c r="L1522" s="43">
        <f t="shared" si="128"/>
        <v>46023</v>
      </c>
      <c r="M1522" s="35">
        <f t="shared" si="129"/>
        <v>0</v>
      </c>
      <c r="N1522" s="35">
        <f t="shared" si="130"/>
        <v>12500</v>
      </c>
      <c r="O1522" s="35">
        <f t="shared" si="131"/>
        <v>0.51369863013698636</v>
      </c>
      <c r="P1522" s="35">
        <f t="shared" si="132"/>
        <v>1.0273972602739727</v>
      </c>
    </row>
    <row r="1523" spans="12:16" ht="15" hidden="1" customHeight="1">
      <c r="L1523" s="43">
        <f t="shared" si="128"/>
        <v>46024</v>
      </c>
      <c r="M1523" s="35">
        <f t="shared" si="129"/>
        <v>0</v>
      </c>
      <c r="N1523" s="35">
        <f t="shared" si="130"/>
        <v>12500</v>
      </c>
      <c r="O1523" s="35">
        <f t="shared" si="131"/>
        <v>0.51369863013698636</v>
      </c>
      <c r="P1523" s="35">
        <f t="shared" si="132"/>
        <v>1.0273972602739727</v>
      </c>
    </row>
    <row r="1524" spans="12:16" ht="15" hidden="1" customHeight="1">
      <c r="L1524" s="43">
        <f t="shared" si="128"/>
        <v>46025</v>
      </c>
      <c r="M1524" s="35">
        <f t="shared" si="129"/>
        <v>0</v>
      </c>
      <c r="N1524" s="35">
        <f t="shared" si="130"/>
        <v>12500</v>
      </c>
      <c r="O1524" s="35">
        <f t="shared" si="131"/>
        <v>0.51369863013698636</v>
      </c>
      <c r="P1524" s="35">
        <f t="shared" si="132"/>
        <v>1.0273972602739727</v>
      </c>
    </row>
    <row r="1525" spans="12:16" ht="15" hidden="1" customHeight="1">
      <c r="L1525" s="43">
        <f t="shared" si="128"/>
        <v>46026</v>
      </c>
      <c r="M1525" s="35">
        <f t="shared" si="129"/>
        <v>0</v>
      </c>
      <c r="N1525" s="35">
        <f t="shared" si="130"/>
        <v>12500</v>
      </c>
      <c r="O1525" s="35">
        <f t="shared" si="131"/>
        <v>0.51369863013698636</v>
      </c>
      <c r="P1525" s="35">
        <f t="shared" si="132"/>
        <v>1.0273972602739727</v>
      </c>
    </row>
    <row r="1526" spans="12:16" ht="15" hidden="1" customHeight="1">
      <c r="L1526" s="43">
        <f t="shared" si="128"/>
        <v>46027</v>
      </c>
      <c r="M1526" s="35">
        <f t="shared" si="129"/>
        <v>0</v>
      </c>
      <c r="N1526" s="35">
        <f t="shared" si="130"/>
        <v>12500</v>
      </c>
      <c r="O1526" s="35">
        <f t="shared" si="131"/>
        <v>0.51369863013698636</v>
      </c>
      <c r="P1526" s="35">
        <f t="shared" si="132"/>
        <v>1.0273972602739727</v>
      </c>
    </row>
    <row r="1527" spans="12:16" ht="15" hidden="1" customHeight="1">
      <c r="L1527" s="43">
        <f t="shared" si="128"/>
        <v>46028</v>
      </c>
      <c r="M1527" s="35">
        <f t="shared" si="129"/>
        <v>0</v>
      </c>
      <c r="N1527" s="35">
        <f t="shared" si="130"/>
        <v>12500</v>
      </c>
      <c r="O1527" s="35">
        <f t="shared" si="131"/>
        <v>0.51369863013698636</v>
      </c>
      <c r="P1527" s="35">
        <f t="shared" si="132"/>
        <v>1.0273972602739727</v>
      </c>
    </row>
    <row r="1528" spans="12:16" ht="15" hidden="1" customHeight="1">
      <c r="L1528" s="43">
        <f t="shared" si="128"/>
        <v>46029</v>
      </c>
      <c r="M1528" s="35">
        <f t="shared" si="129"/>
        <v>0</v>
      </c>
      <c r="N1528" s="35">
        <f t="shared" si="130"/>
        <v>12500</v>
      </c>
      <c r="O1528" s="35">
        <f t="shared" si="131"/>
        <v>0.51369863013698636</v>
      </c>
      <c r="P1528" s="35">
        <f t="shared" si="132"/>
        <v>1.0273972602739727</v>
      </c>
    </row>
    <row r="1529" spans="12:16" ht="15" hidden="1" customHeight="1">
      <c r="L1529" s="43">
        <f t="shared" si="128"/>
        <v>46030</v>
      </c>
      <c r="M1529" s="35">
        <f t="shared" si="129"/>
        <v>0</v>
      </c>
      <c r="N1529" s="35">
        <f t="shared" si="130"/>
        <v>12500</v>
      </c>
      <c r="O1529" s="35">
        <f t="shared" si="131"/>
        <v>0.51369863013698636</v>
      </c>
      <c r="P1529" s="35">
        <f t="shared" si="132"/>
        <v>1.0273972602739727</v>
      </c>
    </row>
    <row r="1530" spans="12:16" ht="15" hidden="1" customHeight="1">
      <c r="L1530" s="43">
        <f t="shared" si="128"/>
        <v>46031</v>
      </c>
      <c r="M1530" s="35">
        <f t="shared" si="129"/>
        <v>0</v>
      </c>
      <c r="N1530" s="35">
        <f t="shared" si="130"/>
        <v>12500</v>
      </c>
      <c r="O1530" s="35">
        <f t="shared" si="131"/>
        <v>0.51369863013698636</v>
      </c>
      <c r="P1530" s="35">
        <f t="shared" si="132"/>
        <v>1.0273972602739727</v>
      </c>
    </row>
    <row r="1531" spans="12:16" ht="15" hidden="1" customHeight="1">
      <c r="L1531" s="43">
        <f t="shared" si="128"/>
        <v>46032</v>
      </c>
      <c r="M1531" s="35">
        <f t="shared" si="129"/>
        <v>0</v>
      </c>
      <c r="N1531" s="35">
        <f t="shared" si="130"/>
        <v>12500</v>
      </c>
      <c r="O1531" s="35">
        <f t="shared" si="131"/>
        <v>0.51369863013698636</v>
      </c>
      <c r="P1531" s="35">
        <f t="shared" si="132"/>
        <v>1.0273972602739727</v>
      </c>
    </row>
    <row r="1532" spans="12:16" ht="15" hidden="1" customHeight="1">
      <c r="L1532" s="43">
        <f t="shared" si="128"/>
        <v>46033</v>
      </c>
      <c r="M1532" s="35">
        <f t="shared" si="129"/>
        <v>0</v>
      </c>
      <c r="N1532" s="35">
        <f t="shared" si="130"/>
        <v>12500</v>
      </c>
      <c r="O1532" s="35">
        <f t="shared" si="131"/>
        <v>0.51369863013698636</v>
      </c>
      <c r="P1532" s="35">
        <f t="shared" si="132"/>
        <v>1.0273972602739727</v>
      </c>
    </row>
    <row r="1533" spans="12:16" ht="15" hidden="1" customHeight="1">
      <c r="L1533" s="43">
        <f t="shared" si="128"/>
        <v>46034</v>
      </c>
      <c r="M1533" s="35">
        <f t="shared" si="129"/>
        <v>0</v>
      </c>
      <c r="N1533" s="35">
        <f t="shared" si="130"/>
        <v>12500</v>
      </c>
      <c r="O1533" s="35">
        <f t="shared" si="131"/>
        <v>0.51369863013698636</v>
      </c>
      <c r="P1533" s="35">
        <f t="shared" si="132"/>
        <v>1.0273972602739727</v>
      </c>
    </row>
    <row r="1534" spans="12:16" ht="15" hidden="1" customHeight="1">
      <c r="L1534" s="43">
        <f t="shared" si="128"/>
        <v>46035</v>
      </c>
      <c r="M1534" s="35">
        <f t="shared" si="129"/>
        <v>0</v>
      </c>
      <c r="N1534" s="35">
        <f t="shared" si="130"/>
        <v>12500</v>
      </c>
      <c r="O1534" s="35">
        <f t="shared" si="131"/>
        <v>0.51369863013698636</v>
      </c>
      <c r="P1534" s="35">
        <f t="shared" si="132"/>
        <v>1.0273972602739727</v>
      </c>
    </row>
    <row r="1535" spans="12:16" ht="15" hidden="1" customHeight="1">
      <c r="L1535" s="43">
        <f t="shared" si="128"/>
        <v>46036</v>
      </c>
      <c r="M1535" s="35">
        <f t="shared" si="129"/>
        <v>0</v>
      </c>
      <c r="N1535" s="35">
        <f t="shared" si="130"/>
        <v>12500</v>
      </c>
      <c r="O1535" s="35">
        <f t="shared" si="131"/>
        <v>0.51369863013698636</v>
      </c>
      <c r="P1535" s="35">
        <f t="shared" si="132"/>
        <v>1.0273972602739727</v>
      </c>
    </row>
    <row r="1536" spans="12:16" ht="15" hidden="1" customHeight="1">
      <c r="L1536" s="43">
        <f t="shared" si="128"/>
        <v>46037</v>
      </c>
      <c r="M1536" s="35">
        <f t="shared" si="129"/>
        <v>2500</v>
      </c>
      <c r="N1536" s="35">
        <f t="shared" si="130"/>
        <v>10000</v>
      </c>
      <c r="O1536" s="35">
        <f t="shared" si="131"/>
        <v>0.51369863013698636</v>
      </c>
      <c r="P1536" s="35">
        <f t="shared" si="132"/>
        <v>1.0273972602739727</v>
      </c>
    </row>
    <row r="1537" spans="12:16" ht="15" hidden="1" customHeight="1">
      <c r="L1537" s="43">
        <f t="shared" si="128"/>
        <v>46038</v>
      </c>
      <c r="M1537" s="35">
        <f t="shared" si="129"/>
        <v>0</v>
      </c>
      <c r="N1537" s="35">
        <f t="shared" si="130"/>
        <v>10000</v>
      </c>
      <c r="O1537" s="35">
        <f t="shared" si="131"/>
        <v>0.41095890410958902</v>
      </c>
      <c r="P1537" s="35">
        <f t="shared" si="132"/>
        <v>0.82191780821917804</v>
      </c>
    </row>
    <row r="1538" spans="12:16" ht="15" hidden="1" customHeight="1">
      <c r="L1538" s="43">
        <f t="shared" si="128"/>
        <v>46039</v>
      </c>
      <c r="M1538" s="35">
        <f t="shared" si="129"/>
        <v>0</v>
      </c>
      <c r="N1538" s="35">
        <f t="shared" si="130"/>
        <v>10000</v>
      </c>
      <c r="O1538" s="35">
        <f t="shared" si="131"/>
        <v>0.41095890410958902</v>
      </c>
      <c r="P1538" s="35">
        <f t="shared" si="132"/>
        <v>0.82191780821917804</v>
      </c>
    </row>
    <row r="1539" spans="12:16" ht="15" hidden="1" customHeight="1">
      <c r="L1539" s="43">
        <f t="shared" si="128"/>
        <v>46040</v>
      </c>
      <c r="M1539" s="35">
        <f t="shared" si="129"/>
        <v>0</v>
      </c>
      <c r="N1539" s="35">
        <f t="shared" si="130"/>
        <v>10000</v>
      </c>
      <c r="O1539" s="35">
        <f t="shared" si="131"/>
        <v>0.41095890410958902</v>
      </c>
      <c r="P1539" s="35">
        <f t="shared" si="132"/>
        <v>0.82191780821917804</v>
      </c>
    </row>
    <row r="1540" spans="12:16" ht="15" hidden="1" customHeight="1">
      <c r="L1540" s="43">
        <f t="shared" si="128"/>
        <v>46041</v>
      </c>
      <c r="M1540" s="35">
        <f t="shared" si="129"/>
        <v>0</v>
      </c>
      <c r="N1540" s="35">
        <f t="shared" si="130"/>
        <v>10000</v>
      </c>
      <c r="O1540" s="35">
        <f t="shared" si="131"/>
        <v>0.41095890410958902</v>
      </c>
      <c r="P1540" s="35">
        <f t="shared" si="132"/>
        <v>0.82191780821917804</v>
      </c>
    </row>
    <row r="1541" spans="12:16" ht="15" hidden="1" customHeight="1">
      <c r="L1541" s="43">
        <f t="shared" si="128"/>
        <v>46042</v>
      </c>
      <c r="M1541" s="35">
        <f t="shared" si="129"/>
        <v>0</v>
      </c>
      <c r="N1541" s="35">
        <f t="shared" si="130"/>
        <v>10000</v>
      </c>
      <c r="O1541" s="35">
        <f t="shared" si="131"/>
        <v>0.41095890410958902</v>
      </c>
      <c r="P1541" s="35">
        <f t="shared" si="132"/>
        <v>0.82191780821917804</v>
      </c>
    </row>
    <row r="1542" spans="12:16" ht="15" hidden="1" customHeight="1">
      <c r="L1542" s="43">
        <f t="shared" si="128"/>
        <v>46043</v>
      </c>
      <c r="M1542" s="35">
        <f t="shared" si="129"/>
        <v>0</v>
      </c>
      <c r="N1542" s="35">
        <f t="shared" si="130"/>
        <v>10000</v>
      </c>
      <c r="O1542" s="35">
        <f t="shared" si="131"/>
        <v>0.41095890410958902</v>
      </c>
      <c r="P1542" s="35">
        <f t="shared" si="132"/>
        <v>0.82191780821917804</v>
      </c>
    </row>
    <row r="1543" spans="12:16" ht="15" hidden="1" customHeight="1">
      <c r="L1543" s="43">
        <f t="shared" si="128"/>
        <v>46044</v>
      </c>
      <c r="M1543" s="35">
        <f t="shared" si="129"/>
        <v>0</v>
      </c>
      <c r="N1543" s="35">
        <f t="shared" si="130"/>
        <v>10000</v>
      </c>
      <c r="O1543" s="35">
        <f t="shared" si="131"/>
        <v>0.41095890410958902</v>
      </c>
      <c r="P1543" s="35">
        <f t="shared" si="132"/>
        <v>0.82191780821917804</v>
      </c>
    </row>
    <row r="1544" spans="12:16" ht="15" hidden="1" customHeight="1">
      <c r="L1544" s="43">
        <f t="shared" si="128"/>
        <v>46045</v>
      </c>
      <c r="M1544" s="35">
        <f t="shared" si="129"/>
        <v>0</v>
      </c>
      <c r="N1544" s="35">
        <f t="shared" si="130"/>
        <v>10000</v>
      </c>
      <c r="O1544" s="35">
        <f t="shared" si="131"/>
        <v>0.41095890410958902</v>
      </c>
      <c r="P1544" s="35">
        <f t="shared" si="132"/>
        <v>0.82191780821917804</v>
      </c>
    </row>
    <row r="1545" spans="12:16" ht="15" hidden="1" customHeight="1">
      <c r="L1545" s="43">
        <f t="shared" si="128"/>
        <v>46046</v>
      </c>
      <c r="M1545" s="35">
        <f t="shared" si="129"/>
        <v>0</v>
      </c>
      <c r="N1545" s="35">
        <f t="shared" si="130"/>
        <v>10000</v>
      </c>
      <c r="O1545" s="35">
        <f t="shared" si="131"/>
        <v>0.41095890410958902</v>
      </c>
      <c r="P1545" s="35">
        <f t="shared" si="132"/>
        <v>0.82191780821917804</v>
      </c>
    </row>
    <row r="1546" spans="12:16" ht="15" hidden="1" customHeight="1">
      <c r="L1546" s="43">
        <f t="shared" si="128"/>
        <v>46047</v>
      </c>
      <c r="M1546" s="35">
        <f t="shared" si="129"/>
        <v>0</v>
      </c>
      <c r="N1546" s="35">
        <f t="shared" si="130"/>
        <v>10000</v>
      </c>
      <c r="O1546" s="35">
        <f t="shared" si="131"/>
        <v>0.41095890410958902</v>
      </c>
      <c r="P1546" s="35">
        <f t="shared" si="132"/>
        <v>0.82191780821917804</v>
      </c>
    </row>
    <row r="1547" spans="12:16" ht="15" hidden="1" customHeight="1">
      <c r="L1547" s="43">
        <f t="shared" si="128"/>
        <v>46048</v>
      </c>
      <c r="M1547" s="35">
        <f t="shared" si="129"/>
        <v>0</v>
      </c>
      <c r="N1547" s="35">
        <f t="shared" si="130"/>
        <v>10000</v>
      </c>
      <c r="O1547" s="35">
        <f t="shared" si="131"/>
        <v>0.41095890410958902</v>
      </c>
      <c r="P1547" s="35">
        <f t="shared" si="132"/>
        <v>0.82191780821917804</v>
      </c>
    </row>
    <row r="1548" spans="12:16" ht="15" hidden="1" customHeight="1">
      <c r="L1548" s="43">
        <f t="shared" si="128"/>
        <v>46049</v>
      </c>
      <c r="M1548" s="35">
        <f t="shared" si="129"/>
        <v>0</v>
      </c>
      <c r="N1548" s="35">
        <f t="shared" si="130"/>
        <v>10000</v>
      </c>
      <c r="O1548" s="35">
        <f t="shared" si="131"/>
        <v>0.41095890410958902</v>
      </c>
      <c r="P1548" s="35">
        <f t="shared" si="132"/>
        <v>0.82191780821917804</v>
      </c>
    </row>
    <row r="1549" spans="12:16" ht="15" hidden="1" customHeight="1">
      <c r="L1549" s="43">
        <f t="shared" si="128"/>
        <v>46050</v>
      </c>
      <c r="M1549" s="35">
        <f t="shared" si="129"/>
        <v>0</v>
      </c>
      <c r="N1549" s="35">
        <f t="shared" si="130"/>
        <v>10000</v>
      </c>
      <c r="O1549" s="35">
        <f t="shared" si="131"/>
        <v>0.41095890410958902</v>
      </c>
      <c r="P1549" s="35">
        <f t="shared" si="132"/>
        <v>0.82191780821917804</v>
      </c>
    </row>
    <row r="1550" spans="12:16" ht="15" hidden="1" customHeight="1">
      <c r="L1550" s="43">
        <f t="shared" si="128"/>
        <v>46051</v>
      </c>
      <c r="M1550" s="35">
        <f t="shared" si="129"/>
        <v>0</v>
      </c>
      <c r="N1550" s="35">
        <f t="shared" si="130"/>
        <v>10000</v>
      </c>
      <c r="O1550" s="35">
        <f t="shared" si="131"/>
        <v>0.41095890410958902</v>
      </c>
      <c r="P1550" s="35">
        <f t="shared" si="132"/>
        <v>0.82191780821917804</v>
      </c>
    </row>
    <row r="1551" spans="12:16" ht="15" hidden="1" customHeight="1">
      <c r="L1551" s="43">
        <f t="shared" si="128"/>
        <v>46052</v>
      </c>
      <c r="M1551" s="35">
        <f t="shared" si="129"/>
        <v>0</v>
      </c>
      <c r="N1551" s="35">
        <f t="shared" si="130"/>
        <v>10000</v>
      </c>
      <c r="O1551" s="35">
        <f t="shared" si="131"/>
        <v>0.41095890410958902</v>
      </c>
      <c r="P1551" s="35">
        <f t="shared" si="132"/>
        <v>0.82191780821917804</v>
      </c>
    </row>
    <row r="1552" spans="12:16" ht="15" hidden="1" customHeight="1">
      <c r="L1552" s="43">
        <f t="shared" si="128"/>
        <v>46053</v>
      </c>
      <c r="M1552" s="35">
        <f t="shared" si="129"/>
        <v>0</v>
      </c>
      <c r="N1552" s="35">
        <f t="shared" si="130"/>
        <v>10000</v>
      </c>
      <c r="O1552" s="35">
        <f t="shared" si="131"/>
        <v>0.41095890410958902</v>
      </c>
      <c r="P1552" s="35">
        <f t="shared" si="132"/>
        <v>0.82191780821917804</v>
      </c>
    </row>
    <row r="1553" spans="12:16" ht="15" hidden="1" customHeight="1">
      <c r="L1553" s="43">
        <f t="shared" si="128"/>
        <v>46054</v>
      </c>
      <c r="M1553" s="35">
        <f t="shared" si="129"/>
        <v>0</v>
      </c>
      <c r="N1553" s="35">
        <f t="shared" si="130"/>
        <v>10000</v>
      </c>
      <c r="O1553" s="35">
        <f t="shared" si="131"/>
        <v>0.41095890410958902</v>
      </c>
      <c r="P1553" s="35">
        <f t="shared" si="132"/>
        <v>0.82191780821917804</v>
      </c>
    </row>
    <row r="1554" spans="12:16" ht="15" hidden="1" customHeight="1">
      <c r="L1554" s="43">
        <f t="shared" si="128"/>
        <v>46055</v>
      </c>
      <c r="M1554" s="35">
        <f t="shared" si="129"/>
        <v>0</v>
      </c>
      <c r="N1554" s="35">
        <f t="shared" si="130"/>
        <v>10000</v>
      </c>
      <c r="O1554" s="35">
        <f t="shared" si="131"/>
        <v>0.41095890410958902</v>
      </c>
      <c r="P1554" s="35">
        <f t="shared" si="132"/>
        <v>0.82191780821917804</v>
      </c>
    </row>
    <row r="1555" spans="12:16" ht="15" hidden="1" customHeight="1">
      <c r="L1555" s="43">
        <f t="shared" si="128"/>
        <v>46056</v>
      </c>
      <c r="M1555" s="35">
        <f t="shared" si="129"/>
        <v>0</v>
      </c>
      <c r="N1555" s="35">
        <f t="shared" si="130"/>
        <v>10000</v>
      </c>
      <c r="O1555" s="35">
        <f t="shared" si="131"/>
        <v>0.41095890410958902</v>
      </c>
      <c r="P1555" s="35">
        <f t="shared" si="132"/>
        <v>0.82191780821917804</v>
      </c>
    </row>
    <row r="1556" spans="12:16" ht="15" hidden="1" customHeight="1">
      <c r="L1556" s="43">
        <f t="shared" si="128"/>
        <v>46057</v>
      </c>
      <c r="M1556" s="35">
        <f t="shared" si="129"/>
        <v>0</v>
      </c>
      <c r="N1556" s="35">
        <f t="shared" si="130"/>
        <v>10000</v>
      </c>
      <c r="O1556" s="35">
        <f t="shared" si="131"/>
        <v>0.41095890410958902</v>
      </c>
      <c r="P1556" s="35">
        <f t="shared" si="132"/>
        <v>0.82191780821917804</v>
      </c>
    </row>
    <row r="1557" spans="12:16" ht="15" hidden="1" customHeight="1">
      <c r="L1557" s="43">
        <f t="shared" si="128"/>
        <v>46058</v>
      </c>
      <c r="M1557" s="35">
        <f t="shared" si="129"/>
        <v>0</v>
      </c>
      <c r="N1557" s="35">
        <f t="shared" si="130"/>
        <v>10000</v>
      </c>
      <c r="O1557" s="35">
        <f t="shared" si="131"/>
        <v>0.41095890410958902</v>
      </c>
      <c r="P1557" s="35">
        <f t="shared" si="132"/>
        <v>0.82191780821917804</v>
      </c>
    </row>
    <row r="1558" spans="12:16" ht="15" hidden="1" customHeight="1">
      <c r="L1558" s="43">
        <f t="shared" si="128"/>
        <v>46059</v>
      </c>
      <c r="M1558" s="35">
        <f t="shared" si="129"/>
        <v>0</v>
      </c>
      <c r="N1558" s="35">
        <f t="shared" si="130"/>
        <v>10000</v>
      </c>
      <c r="O1558" s="35">
        <f t="shared" si="131"/>
        <v>0.41095890410958902</v>
      </c>
      <c r="P1558" s="35">
        <f t="shared" si="132"/>
        <v>0.82191780821917804</v>
      </c>
    </row>
    <row r="1559" spans="12:16" ht="15" hidden="1" customHeight="1">
      <c r="L1559" s="43">
        <f t="shared" si="128"/>
        <v>46060</v>
      </c>
      <c r="M1559" s="35">
        <f t="shared" si="129"/>
        <v>0</v>
      </c>
      <c r="N1559" s="35">
        <f t="shared" si="130"/>
        <v>10000</v>
      </c>
      <c r="O1559" s="35">
        <f t="shared" si="131"/>
        <v>0.41095890410958902</v>
      </c>
      <c r="P1559" s="35">
        <f t="shared" si="132"/>
        <v>0.82191780821917804</v>
      </c>
    </row>
    <row r="1560" spans="12:16" ht="15" hidden="1" customHeight="1">
      <c r="L1560" s="43">
        <f t="shared" si="128"/>
        <v>46061</v>
      </c>
      <c r="M1560" s="35">
        <f t="shared" si="129"/>
        <v>0</v>
      </c>
      <c r="N1560" s="35">
        <f t="shared" si="130"/>
        <v>10000</v>
      </c>
      <c r="O1560" s="35">
        <f t="shared" si="131"/>
        <v>0.41095890410958902</v>
      </c>
      <c r="P1560" s="35">
        <f t="shared" si="132"/>
        <v>0.82191780821917804</v>
      </c>
    </row>
    <row r="1561" spans="12:16" ht="15" hidden="1" customHeight="1">
      <c r="L1561" s="43">
        <f t="shared" si="128"/>
        <v>46062</v>
      </c>
      <c r="M1561" s="35">
        <f t="shared" si="129"/>
        <v>0</v>
      </c>
      <c r="N1561" s="35">
        <f t="shared" si="130"/>
        <v>10000</v>
      </c>
      <c r="O1561" s="35">
        <f t="shared" si="131"/>
        <v>0.41095890410958902</v>
      </c>
      <c r="P1561" s="35">
        <f t="shared" si="132"/>
        <v>0.82191780821917804</v>
      </c>
    </row>
    <row r="1562" spans="12:16" ht="15" hidden="1" customHeight="1">
      <c r="L1562" s="43">
        <f t="shared" si="128"/>
        <v>46063</v>
      </c>
      <c r="M1562" s="35">
        <f t="shared" si="129"/>
        <v>0</v>
      </c>
      <c r="N1562" s="35">
        <f t="shared" si="130"/>
        <v>10000</v>
      </c>
      <c r="O1562" s="35">
        <f t="shared" si="131"/>
        <v>0.41095890410958902</v>
      </c>
      <c r="P1562" s="35">
        <f t="shared" si="132"/>
        <v>0.82191780821917804</v>
      </c>
    </row>
    <row r="1563" spans="12:16" ht="15" hidden="1" customHeight="1">
      <c r="L1563" s="43">
        <f t="shared" si="128"/>
        <v>46064</v>
      </c>
      <c r="M1563" s="35">
        <f t="shared" si="129"/>
        <v>0</v>
      </c>
      <c r="N1563" s="35">
        <f t="shared" si="130"/>
        <v>10000</v>
      </c>
      <c r="O1563" s="35">
        <f t="shared" si="131"/>
        <v>0.41095890410958902</v>
      </c>
      <c r="P1563" s="35">
        <f t="shared" si="132"/>
        <v>0.82191780821917804</v>
      </c>
    </row>
    <row r="1564" spans="12:16" ht="15" hidden="1" customHeight="1">
      <c r="L1564" s="43">
        <f t="shared" si="128"/>
        <v>46065</v>
      </c>
      <c r="M1564" s="35">
        <f t="shared" si="129"/>
        <v>0</v>
      </c>
      <c r="N1564" s="35">
        <f t="shared" si="130"/>
        <v>10000</v>
      </c>
      <c r="O1564" s="35">
        <f t="shared" si="131"/>
        <v>0.41095890410958902</v>
      </c>
      <c r="P1564" s="35">
        <f t="shared" si="132"/>
        <v>0.82191780821917804</v>
      </c>
    </row>
    <row r="1565" spans="12:16" ht="15" hidden="1" customHeight="1">
      <c r="L1565" s="43">
        <f t="shared" si="128"/>
        <v>46066</v>
      </c>
      <c r="M1565" s="35">
        <f t="shared" si="129"/>
        <v>0</v>
      </c>
      <c r="N1565" s="35">
        <f t="shared" si="130"/>
        <v>10000</v>
      </c>
      <c r="O1565" s="35">
        <f t="shared" si="131"/>
        <v>0.41095890410958902</v>
      </c>
      <c r="P1565" s="35">
        <f t="shared" si="132"/>
        <v>0.82191780821917804</v>
      </c>
    </row>
    <row r="1566" spans="12:16" ht="15" hidden="1" customHeight="1">
      <c r="L1566" s="43">
        <f t="shared" si="128"/>
        <v>46067</v>
      </c>
      <c r="M1566" s="35">
        <f t="shared" si="129"/>
        <v>0</v>
      </c>
      <c r="N1566" s="35">
        <f t="shared" si="130"/>
        <v>10000</v>
      </c>
      <c r="O1566" s="35">
        <f t="shared" si="131"/>
        <v>0.41095890410958902</v>
      </c>
      <c r="P1566" s="35">
        <f t="shared" si="132"/>
        <v>0.82191780821917804</v>
      </c>
    </row>
    <row r="1567" spans="12:16" ht="15" hidden="1" customHeight="1">
      <c r="L1567" s="43">
        <f t="shared" ref="L1567:L1630" si="133">IFERROR(IF(MAX(L1566+1,Дата_получения_Займа+1)&gt;Дата_погашения_Займа,"-",MAX(L1566+1,Дата_получения_Займа+1)),"-")</f>
        <v>46068</v>
      </c>
      <c r="M1567" s="35">
        <f t="shared" ref="M1567:M1630" si="134">IFERROR(VLOOKUP(L1567,$B$31:$E$59,4,FALSE),0)</f>
        <v>0</v>
      </c>
      <c r="N1567" s="35">
        <f t="shared" ref="N1567:N1630" si="135">IF(ISNUMBER(N1566),N1566-M1567,$E$20)</f>
        <v>10000</v>
      </c>
      <c r="O1567" s="35">
        <f t="shared" ref="O1567:O1630" si="136">IFERROR(IF(ISNUMBER(N1566),N1566,$E$20)*IF(L1567&gt;=$J$20,$E$25,$E$24)/IF(MOD(YEAR(L1567),4),365,366)*IF(ISBLANK(L1566),L1567-$E$22,L1567-L1566),0)</f>
        <v>0.41095890410958902</v>
      </c>
      <c r="P1567" s="35">
        <f t="shared" ref="P1567:P1630" si="137">IFERROR(IF(ISNUMBER(N1566),N1566,$E$20)*3%/IF(MOD(YEAR(L1567),4),365,366)*IF(ISBLANK(L1566),(L1567-$E$22),L1567-L1566),0)</f>
        <v>0.82191780821917804</v>
      </c>
    </row>
    <row r="1568" spans="12:16" ht="15" hidden="1" customHeight="1">
      <c r="L1568" s="43">
        <f t="shared" si="133"/>
        <v>46069</v>
      </c>
      <c r="M1568" s="35">
        <f t="shared" si="134"/>
        <v>0</v>
      </c>
      <c r="N1568" s="35">
        <f t="shared" si="135"/>
        <v>10000</v>
      </c>
      <c r="O1568" s="35">
        <f t="shared" si="136"/>
        <v>0.41095890410958902</v>
      </c>
      <c r="P1568" s="35">
        <f t="shared" si="137"/>
        <v>0.82191780821917804</v>
      </c>
    </row>
    <row r="1569" spans="12:16" ht="15" hidden="1" customHeight="1">
      <c r="L1569" s="43">
        <f t="shared" si="133"/>
        <v>46070</v>
      </c>
      <c r="M1569" s="35">
        <f t="shared" si="134"/>
        <v>0</v>
      </c>
      <c r="N1569" s="35">
        <f t="shared" si="135"/>
        <v>10000</v>
      </c>
      <c r="O1569" s="35">
        <f t="shared" si="136"/>
        <v>0.41095890410958902</v>
      </c>
      <c r="P1569" s="35">
        <f t="shared" si="137"/>
        <v>0.82191780821917804</v>
      </c>
    </row>
    <row r="1570" spans="12:16" ht="15" hidden="1" customHeight="1">
      <c r="L1570" s="43">
        <f t="shared" si="133"/>
        <v>46071</v>
      </c>
      <c r="M1570" s="35">
        <f t="shared" si="134"/>
        <v>0</v>
      </c>
      <c r="N1570" s="35">
        <f t="shared" si="135"/>
        <v>10000</v>
      </c>
      <c r="O1570" s="35">
        <f t="shared" si="136"/>
        <v>0.41095890410958902</v>
      </c>
      <c r="P1570" s="35">
        <f t="shared" si="137"/>
        <v>0.82191780821917804</v>
      </c>
    </row>
    <row r="1571" spans="12:16" ht="15" hidden="1" customHeight="1">
      <c r="L1571" s="43">
        <f t="shared" si="133"/>
        <v>46072</v>
      </c>
      <c r="M1571" s="35">
        <f t="shared" si="134"/>
        <v>0</v>
      </c>
      <c r="N1571" s="35">
        <f t="shared" si="135"/>
        <v>10000</v>
      </c>
      <c r="O1571" s="35">
        <f t="shared" si="136"/>
        <v>0.41095890410958902</v>
      </c>
      <c r="P1571" s="35">
        <f t="shared" si="137"/>
        <v>0.82191780821917804</v>
      </c>
    </row>
    <row r="1572" spans="12:16" ht="15" hidden="1" customHeight="1">
      <c r="L1572" s="43">
        <f t="shared" si="133"/>
        <v>46073</v>
      </c>
      <c r="M1572" s="35">
        <f t="shared" si="134"/>
        <v>0</v>
      </c>
      <c r="N1572" s="35">
        <f t="shared" si="135"/>
        <v>10000</v>
      </c>
      <c r="O1572" s="35">
        <f t="shared" si="136"/>
        <v>0.41095890410958902</v>
      </c>
      <c r="P1572" s="35">
        <f t="shared" si="137"/>
        <v>0.82191780821917804</v>
      </c>
    </row>
    <row r="1573" spans="12:16" ht="15" hidden="1" customHeight="1">
      <c r="L1573" s="43">
        <f t="shared" si="133"/>
        <v>46074</v>
      </c>
      <c r="M1573" s="35">
        <f t="shared" si="134"/>
        <v>0</v>
      </c>
      <c r="N1573" s="35">
        <f t="shared" si="135"/>
        <v>10000</v>
      </c>
      <c r="O1573" s="35">
        <f t="shared" si="136"/>
        <v>0.41095890410958902</v>
      </c>
      <c r="P1573" s="35">
        <f t="shared" si="137"/>
        <v>0.82191780821917804</v>
      </c>
    </row>
    <row r="1574" spans="12:16" ht="15" hidden="1" customHeight="1">
      <c r="L1574" s="43">
        <f t="shared" si="133"/>
        <v>46075</v>
      </c>
      <c r="M1574" s="35">
        <f t="shared" si="134"/>
        <v>0</v>
      </c>
      <c r="N1574" s="35">
        <f t="shared" si="135"/>
        <v>10000</v>
      </c>
      <c r="O1574" s="35">
        <f t="shared" si="136"/>
        <v>0.41095890410958902</v>
      </c>
      <c r="P1574" s="35">
        <f t="shared" si="137"/>
        <v>0.82191780821917804</v>
      </c>
    </row>
    <row r="1575" spans="12:16" ht="15" hidden="1" customHeight="1">
      <c r="L1575" s="43">
        <f t="shared" si="133"/>
        <v>46076</v>
      </c>
      <c r="M1575" s="35">
        <f t="shared" si="134"/>
        <v>0</v>
      </c>
      <c r="N1575" s="35">
        <f t="shared" si="135"/>
        <v>10000</v>
      </c>
      <c r="O1575" s="35">
        <f t="shared" si="136"/>
        <v>0.41095890410958902</v>
      </c>
      <c r="P1575" s="35">
        <f t="shared" si="137"/>
        <v>0.82191780821917804</v>
      </c>
    </row>
    <row r="1576" spans="12:16" ht="15" hidden="1" customHeight="1">
      <c r="L1576" s="43">
        <f t="shared" si="133"/>
        <v>46077</v>
      </c>
      <c r="M1576" s="35">
        <f t="shared" si="134"/>
        <v>0</v>
      </c>
      <c r="N1576" s="35">
        <f t="shared" si="135"/>
        <v>10000</v>
      </c>
      <c r="O1576" s="35">
        <f t="shared" si="136"/>
        <v>0.41095890410958902</v>
      </c>
      <c r="P1576" s="35">
        <f t="shared" si="137"/>
        <v>0.82191780821917804</v>
      </c>
    </row>
    <row r="1577" spans="12:16" ht="15" hidden="1" customHeight="1">
      <c r="L1577" s="43">
        <f t="shared" si="133"/>
        <v>46078</v>
      </c>
      <c r="M1577" s="35">
        <f t="shared" si="134"/>
        <v>0</v>
      </c>
      <c r="N1577" s="35">
        <f t="shared" si="135"/>
        <v>10000</v>
      </c>
      <c r="O1577" s="35">
        <f t="shared" si="136"/>
        <v>0.41095890410958902</v>
      </c>
      <c r="P1577" s="35">
        <f t="shared" si="137"/>
        <v>0.82191780821917804</v>
      </c>
    </row>
    <row r="1578" spans="12:16" ht="15" hidden="1" customHeight="1">
      <c r="L1578" s="43">
        <f t="shared" si="133"/>
        <v>46079</v>
      </c>
      <c r="M1578" s="35">
        <f t="shared" si="134"/>
        <v>0</v>
      </c>
      <c r="N1578" s="35">
        <f t="shared" si="135"/>
        <v>10000</v>
      </c>
      <c r="O1578" s="35">
        <f t="shared" si="136"/>
        <v>0.41095890410958902</v>
      </c>
      <c r="P1578" s="35">
        <f t="shared" si="137"/>
        <v>0.82191780821917804</v>
      </c>
    </row>
    <row r="1579" spans="12:16" ht="15" hidden="1" customHeight="1">
      <c r="L1579" s="43">
        <f t="shared" si="133"/>
        <v>46080</v>
      </c>
      <c r="M1579" s="35">
        <f t="shared" si="134"/>
        <v>0</v>
      </c>
      <c r="N1579" s="35">
        <f t="shared" si="135"/>
        <v>10000</v>
      </c>
      <c r="O1579" s="35">
        <f t="shared" si="136"/>
        <v>0.41095890410958902</v>
      </c>
      <c r="P1579" s="35">
        <f t="shared" si="137"/>
        <v>0.82191780821917804</v>
      </c>
    </row>
    <row r="1580" spans="12:16" ht="15" hidden="1" customHeight="1">
      <c r="L1580" s="43">
        <f t="shared" si="133"/>
        <v>46081</v>
      </c>
      <c r="M1580" s="35">
        <f t="shared" si="134"/>
        <v>0</v>
      </c>
      <c r="N1580" s="35">
        <f t="shared" si="135"/>
        <v>10000</v>
      </c>
      <c r="O1580" s="35">
        <f t="shared" si="136"/>
        <v>0.41095890410958902</v>
      </c>
      <c r="P1580" s="35">
        <f t="shared" si="137"/>
        <v>0.82191780821917804</v>
      </c>
    </row>
    <row r="1581" spans="12:16" ht="15" hidden="1" customHeight="1">
      <c r="L1581" s="43">
        <f t="shared" si="133"/>
        <v>46082</v>
      </c>
      <c r="M1581" s="35">
        <f t="shared" si="134"/>
        <v>0</v>
      </c>
      <c r="N1581" s="35">
        <f t="shared" si="135"/>
        <v>10000</v>
      </c>
      <c r="O1581" s="35">
        <f t="shared" si="136"/>
        <v>0.41095890410958902</v>
      </c>
      <c r="P1581" s="35">
        <f t="shared" si="137"/>
        <v>0.82191780821917804</v>
      </c>
    </row>
    <row r="1582" spans="12:16" ht="15" hidden="1" customHeight="1">
      <c r="L1582" s="43">
        <f t="shared" si="133"/>
        <v>46083</v>
      </c>
      <c r="M1582" s="35">
        <f t="shared" si="134"/>
        <v>0</v>
      </c>
      <c r="N1582" s="35">
        <f t="shared" si="135"/>
        <v>10000</v>
      </c>
      <c r="O1582" s="35">
        <f t="shared" si="136"/>
        <v>0.41095890410958902</v>
      </c>
      <c r="P1582" s="35">
        <f t="shared" si="137"/>
        <v>0.82191780821917804</v>
      </c>
    </row>
    <row r="1583" spans="12:16" ht="15" hidden="1" customHeight="1">
      <c r="L1583" s="43">
        <f t="shared" si="133"/>
        <v>46084</v>
      </c>
      <c r="M1583" s="35">
        <f t="shared" si="134"/>
        <v>0</v>
      </c>
      <c r="N1583" s="35">
        <f t="shared" si="135"/>
        <v>10000</v>
      </c>
      <c r="O1583" s="35">
        <f t="shared" si="136"/>
        <v>0.41095890410958902</v>
      </c>
      <c r="P1583" s="35">
        <f t="shared" si="137"/>
        <v>0.82191780821917804</v>
      </c>
    </row>
    <row r="1584" spans="12:16" ht="15" hidden="1" customHeight="1">
      <c r="L1584" s="43">
        <f t="shared" si="133"/>
        <v>46085</v>
      </c>
      <c r="M1584" s="35">
        <f t="shared" si="134"/>
        <v>0</v>
      </c>
      <c r="N1584" s="35">
        <f t="shared" si="135"/>
        <v>10000</v>
      </c>
      <c r="O1584" s="35">
        <f t="shared" si="136"/>
        <v>0.41095890410958902</v>
      </c>
      <c r="P1584" s="35">
        <f t="shared" si="137"/>
        <v>0.82191780821917804</v>
      </c>
    </row>
    <row r="1585" spans="12:16" ht="15" hidden="1" customHeight="1">
      <c r="L1585" s="43">
        <f t="shared" si="133"/>
        <v>46086</v>
      </c>
      <c r="M1585" s="35">
        <f t="shared" si="134"/>
        <v>0</v>
      </c>
      <c r="N1585" s="35">
        <f t="shared" si="135"/>
        <v>10000</v>
      </c>
      <c r="O1585" s="35">
        <f t="shared" si="136"/>
        <v>0.41095890410958902</v>
      </c>
      <c r="P1585" s="35">
        <f t="shared" si="137"/>
        <v>0.82191780821917804</v>
      </c>
    </row>
    <row r="1586" spans="12:16" ht="15" hidden="1" customHeight="1">
      <c r="L1586" s="43">
        <f t="shared" si="133"/>
        <v>46087</v>
      </c>
      <c r="M1586" s="35">
        <f t="shared" si="134"/>
        <v>0</v>
      </c>
      <c r="N1586" s="35">
        <f t="shared" si="135"/>
        <v>10000</v>
      </c>
      <c r="O1586" s="35">
        <f t="shared" si="136"/>
        <v>0.41095890410958902</v>
      </c>
      <c r="P1586" s="35">
        <f t="shared" si="137"/>
        <v>0.82191780821917804</v>
      </c>
    </row>
    <row r="1587" spans="12:16" ht="15" hidden="1" customHeight="1">
      <c r="L1587" s="43">
        <f t="shared" si="133"/>
        <v>46088</v>
      </c>
      <c r="M1587" s="35">
        <f t="shared" si="134"/>
        <v>0</v>
      </c>
      <c r="N1587" s="35">
        <f t="shared" si="135"/>
        <v>10000</v>
      </c>
      <c r="O1587" s="35">
        <f t="shared" si="136"/>
        <v>0.41095890410958902</v>
      </c>
      <c r="P1587" s="35">
        <f t="shared" si="137"/>
        <v>0.82191780821917804</v>
      </c>
    </row>
    <row r="1588" spans="12:16" ht="15" hidden="1" customHeight="1">
      <c r="L1588" s="43">
        <f t="shared" si="133"/>
        <v>46089</v>
      </c>
      <c r="M1588" s="35">
        <f t="shared" si="134"/>
        <v>0</v>
      </c>
      <c r="N1588" s="35">
        <f t="shared" si="135"/>
        <v>10000</v>
      </c>
      <c r="O1588" s="35">
        <f t="shared" si="136"/>
        <v>0.41095890410958902</v>
      </c>
      <c r="P1588" s="35">
        <f t="shared" si="137"/>
        <v>0.82191780821917804</v>
      </c>
    </row>
    <row r="1589" spans="12:16" ht="15" hidden="1" customHeight="1">
      <c r="L1589" s="43">
        <f t="shared" si="133"/>
        <v>46090</v>
      </c>
      <c r="M1589" s="35">
        <f t="shared" si="134"/>
        <v>0</v>
      </c>
      <c r="N1589" s="35">
        <f t="shared" si="135"/>
        <v>10000</v>
      </c>
      <c r="O1589" s="35">
        <f t="shared" si="136"/>
        <v>0.41095890410958902</v>
      </c>
      <c r="P1589" s="35">
        <f t="shared" si="137"/>
        <v>0.82191780821917804</v>
      </c>
    </row>
    <row r="1590" spans="12:16" ht="15" hidden="1" customHeight="1">
      <c r="L1590" s="43">
        <f t="shared" si="133"/>
        <v>46091</v>
      </c>
      <c r="M1590" s="35">
        <f t="shared" si="134"/>
        <v>0</v>
      </c>
      <c r="N1590" s="35">
        <f t="shared" si="135"/>
        <v>10000</v>
      </c>
      <c r="O1590" s="35">
        <f t="shared" si="136"/>
        <v>0.41095890410958902</v>
      </c>
      <c r="P1590" s="35">
        <f t="shared" si="137"/>
        <v>0.82191780821917804</v>
      </c>
    </row>
    <row r="1591" spans="12:16" ht="15" hidden="1" customHeight="1">
      <c r="L1591" s="43">
        <f t="shared" si="133"/>
        <v>46092</v>
      </c>
      <c r="M1591" s="35">
        <f t="shared" si="134"/>
        <v>0</v>
      </c>
      <c r="N1591" s="35">
        <f t="shared" si="135"/>
        <v>10000</v>
      </c>
      <c r="O1591" s="35">
        <f t="shared" si="136"/>
        <v>0.41095890410958902</v>
      </c>
      <c r="P1591" s="35">
        <f t="shared" si="137"/>
        <v>0.82191780821917804</v>
      </c>
    </row>
    <row r="1592" spans="12:16" ht="15" hidden="1" customHeight="1">
      <c r="L1592" s="43">
        <f t="shared" si="133"/>
        <v>46093</v>
      </c>
      <c r="M1592" s="35">
        <f t="shared" si="134"/>
        <v>0</v>
      </c>
      <c r="N1592" s="35">
        <f t="shared" si="135"/>
        <v>10000</v>
      </c>
      <c r="O1592" s="35">
        <f t="shared" si="136"/>
        <v>0.41095890410958902</v>
      </c>
      <c r="P1592" s="35">
        <f t="shared" si="137"/>
        <v>0.82191780821917804</v>
      </c>
    </row>
    <row r="1593" spans="12:16" ht="15" hidden="1" customHeight="1">
      <c r="L1593" s="43">
        <f t="shared" si="133"/>
        <v>46094</v>
      </c>
      <c r="M1593" s="35">
        <f t="shared" si="134"/>
        <v>0</v>
      </c>
      <c r="N1593" s="35">
        <f t="shared" si="135"/>
        <v>10000</v>
      </c>
      <c r="O1593" s="35">
        <f t="shared" si="136"/>
        <v>0.41095890410958902</v>
      </c>
      <c r="P1593" s="35">
        <f t="shared" si="137"/>
        <v>0.82191780821917804</v>
      </c>
    </row>
    <row r="1594" spans="12:16" ht="15" hidden="1" customHeight="1">
      <c r="L1594" s="43">
        <f t="shared" si="133"/>
        <v>46095</v>
      </c>
      <c r="M1594" s="35">
        <f t="shared" si="134"/>
        <v>0</v>
      </c>
      <c r="N1594" s="35">
        <f t="shared" si="135"/>
        <v>10000</v>
      </c>
      <c r="O1594" s="35">
        <f t="shared" si="136"/>
        <v>0.41095890410958902</v>
      </c>
      <c r="P1594" s="35">
        <f t="shared" si="137"/>
        <v>0.82191780821917804</v>
      </c>
    </row>
    <row r="1595" spans="12:16" ht="15" hidden="1" customHeight="1">
      <c r="L1595" s="43">
        <f t="shared" si="133"/>
        <v>46096</v>
      </c>
      <c r="M1595" s="35">
        <f t="shared" si="134"/>
        <v>0</v>
      </c>
      <c r="N1595" s="35">
        <f t="shared" si="135"/>
        <v>10000</v>
      </c>
      <c r="O1595" s="35">
        <f t="shared" si="136"/>
        <v>0.41095890410958902</v>
      </c>
      <c r="P1595" s="35">
        <f t="shared" si="137"/>
        <v>0.82191780821917804</v>
      </c>
    </row>
    <row r="1596" spans="12:16" ht="15" hidden="1" customHeight="1">
      <c r="L1596" s="43">
        <f t="shared" si="133"/>
        <v>46097</v>
      </c>
      <c r="M1596" s="35">
        <f t="shared" si="134"/>
        <v>0</v>
      </c>
      <c r="N1596" s="35">
        <f t="shared" si="135"/>
        <v>10000</v>
      </c>
      <c r="O1596" s="35">
        <f t="shared" si="136"/>
        <v>0.41095890410958902</v>
      </c>
      <c r="P1596" s="35">
        <f t="shared" si="137"/>
        <v>0.82191780821917804</v>
      </c>
    </row>
    <row r="1597" spans="12:16" ht="15" hidden="1" customHeight="1">
      <c r="L1597" s="43">
        <f t="shared" si="133"/>
        <v>46098</v>
      </c>
      <c r="M1597" s="35">
        <f t="shared" si="134"/>
        <v>0</v>
      </c>
      <c r="N1597" s="35">
        <f t="shared" si="135"/>
        <v>10000</v>
      </c>
      <c r="O1597" s="35">
        <f t="shared" si="136"/>
        <v>0.41095890410958902</v>
      </c>
      <c r="P1597" s="35">
        <f t="shared" si="137"/>
        <v>0.82191780821917804</v>
      </c>
    </row>
    <row r="1598" spans="12:16" ht="15" hidden="1" customHeight="1">
      <c r="L1598" s="43">
        <f t="shared" si="133"/>
        <v>46099</v>
      </c>
      <c r="M1598" s="35">
        <f t="shared" si="134"/>
        <v>0</v>
      </c>
      <c r="N1598" s="35">
        <f t="shared" si="135"/>
        <v>10000</v>
      </c>
      <c r="O1598" s="35">
        <f t="shared" si="136"/>
        <v>0.41095890410958902</v>
      </c>
      <c r="P1598" s="35">
        <f t="shared" si="137"/>
        <v>0.82191780821917804</v>
      </c>
    </row>
    <row r="1599" spans="12:16" ht="15" hidden="1" customHeight="1">
      <c r="L1599" s="43">
        <f t="shared" si="133"/>
        <v>46100</v>
      </c>
      <c r="M1599" s="35">
        <f t="shared" si="134"/>
        <v>0</v>
      </c>
      <c r="N1599" s="35">
        <f t="shared" si="135"/>
        <v>10000</v>
      </c>
      <c r="O1599" s="35">
        <f t="shared" si="136"/>
        <v>0.41095890410958902</v>
      </c>
      <c r="P1599" s="35">
        <f t="shared" si="137"/>
        <v>0.82191780821917804</v>
      </c>
    </row>
    <row r="1600" spans="12:16" ht="15" hidden="1" customHeight="1">
      <c r="L1600" s="43">
        <f t="shared" si="133"/>
        <v>46101</v>
      </c>
      <c r="M1600" s="35">
        <f t="shared" si="134"/>
        <v>0</v>
      </c>
      <c r="N1600" s="35">
        <f t="shared" si="135"/>
        <v>10000</v>
      </c>
      <c r="O1600" s="35">
        <f t="shared" si="136"/>
        <v>0.41095890410958902</v>
      </c>
      <c r="P1600" s="35">
        <f t="shared" si="137"/>
        <v>0.82191780821917804</v>
      </c>
    </row>
    <row r="1601" spans="12:16" ht="15" hidden="1" customHeight="1">
      <c r="L1601" s="43">
        <f t="shared" si="133"/>
        <v>46102</v>
      </c>
      <c r="M1601" s="35">
        <f t="shared" si="134"/>
        <v>0</v>
      </c>
      <c r="N1601" s="35">
        <f t="shared" si="135"/>
        <v>10000</v>
      </c>
      <c r="O1601" s="35">
        <f t="shared" si="136"/>
        <v>0.41095890410958902</v>
      </c>
      <c r="P1601" s="35">
        <f t="shared" si="137"/>
        <v>0.82191780821917804</v>
      </c>
    </row>
    <row r="1602" spans="12:16" ht="15" hidden="1" customHeight="1">
      <c r="L1602" s="43">
        <f t="shared" si="133"/>
        <v>46103</v>
      </c>
      <c r="M1602" s="35">
        <f t="shared" si="134"/>
        <v>0</v>
      </c>
      <c r="N1602" s="35">
        <f t="shared" si="135"/>
        <v>10000</v>
      </c>
      <c r="O1602" s="35">
        <f t="shared" si="136"/>
        <v>0.41095890410958902</v>
      </c>
      <c r="P1602" s="35">
        <f t="shared" si="137"/>
        <v>0.82191780821917804</v>
      </c>
    </row>
    <row r="1603" spans="12:16" ht="15" hidden="1" customHeight="1">
      <c r="L1603" s="43">
        <f t="shared" si="133"/>
        <v>46104</v>
      </c>
      <c r="M1603" s="35">
        <f t="shared" si="134"/>
        <v>0</v>
      </c>
      <c r="N1603" s="35">
        <f t="shared" si="135"/>
        <v>10000</v>
      </c>
      <c r="O1603" s="35">
        <f t="shared" si="136"/>
        <v>0.41095890410958902</v>
      </c>
      <c r="P1603" s="35">
        <f t="shared" si="137"/>
        <v>0.82191780821917804</v>
      </c>
    </row>
    <row r="1604" spans="12:16" ht="15" hidden="1" customHeight="1">
      <c r="L1604" s="43">
        <f t="shared" si="133"/>
        <v>46105</v>
      </c>
      <c r="M1604" s="35">
        <f t="shared" si="134"/>
        <v>0</v>
      </c>
      <c r="N1604" s="35">
        <f t="shared" si="135"/>
        <v>10000</v>
      </c>
      <c r="O1604" s="35">
        <f t="shared" si="136"/>
        <v>0.41095890410958902</v>
      </c>
      <c r="P1604" s="35">
        <f t="shared" si="137"/>
        <v>0.82191780821917804</v>
      </c>
    </row>
    <row r="1605" spans="12:16" ht="15" hidden="1" customHeight="1">
      <c r="L1605" s="43">
        <f t="shared" si="133"/>
        <v>46106</v>
      </c>
      <c r="M1605" s="35">
        <f t="shared" si="134"/>
        <v>0</v>
      </c>
      <c r="N1605" s="35">
        <f t="shared" si="135"/>
        <v>10000</v>
      </c>
      <c r="O1605" s="35">
        <f t="shared" si="136"/>
        <v>0.41095890410958902</v>
      </c>
      <c r="P1605" s="35">
        <f t="shared" si="137"/>
        <v>0.82191780821917804</v>
      </c>
    </row>
    <row r="1606" spans="12:16" ht="15" hidden="1" customHeight="1">
      <c r="L1606" s="43">
        <f t="shared" si="133"/>
        <v>46107</v>
      </c>
      <c r="M1606" s="35">
        <f t="shared" si="134"/>
        <v>0</v>
      </c>
      <c r="N1606" s="35">
        <f t="shared" si="135"/>
        <v>10000</v>
      </c>
      <c r="O1606" s="35">
        <f t="shared" si="136"/>
        <v>0.41095890410958902</v>
      </c>
      <c r="P1606" s="35">
        <f t="shared" si="137"/>
        <v>0.82191780821917804</v>
      </c>
    </row>
    <row r="1607" spans="12:16" ht="15" hidden="1" customHeight="1">
      <c r="L1607" s="43">
        <f t="shared" si="133"/>
        <v>46108</v>
      </c>
      <c r="M1607" s="35">
        <f t="shared" si="134"/>
        <v>0</v>
      </c>
      <c r="N1607" s="35">
        <f t="shared" si="135"/>
        <v>10000</v>
      </c>
      <c r="O1607" s="35">
        <f t="shared" si="136"/>
        <v>0.41095890410958902</v>
      </c>
      <c r="P1607" s="35">
        <f t="shared" si="137"/>
        <v>0.82191780821917804</v>
      </c>
    </row>
    <row r="1608" spans="12:16" ht="15" hidden="1" customHeight="1">
      <c r="L1608" s="43">
        <f t="shared" si="133"/>
        <v>46109</v>
      </c>
      <c r="M1608" s="35">
        <f t="shared" si="134"/>
        <v>0</v>
      </c>
      <c r="N1608" s="35">
        <f t="shared" si="135"/>
        <v>10000</v>
      </c>
      <c r="O1608" s="35">
        <f t="shared" si="136"/>
        <v>0.41095890410958902</v>
      </c>
      <c r="P1608" s="35">
        <f t="shared" si="137"/>
        <v>0.82191780821917804</v>
      </c>
    </row>
    <row r="1609" spans="12:16" ht="15" hidden="1" customHeight="1">
      <c r="L1609" s="43">
        <f t="shared" si="133"/>
        <v>46110</v>
      </c>
      <c r="M1609" s="35">
        <f t="shared" si="134"/>
        <v>0</v>
      </c>
      <c r="N1609" s="35">
        <f t="shared" si="135"/>
        <v>10000</v>
      </c>
      <c r="O1609" s="35">
        <f t="shared" si="136"/>
        <v>0.41095890410958902</v>
      </c>
      <c r="P1609" s="35">
        <f t="shared" si="137"/>
        <v>0.82191780821917804</v>
      </c>
    </row>
    <row r="1610" spans="12:16" ht="15" hidden="1" customHeight="1">
      <c r="L1610" s="43">
        <f t="shared" si="133"/>
        <v>46111</v>
      </c>
      <c r="M1610" s="35">
        <f t="shared" si="134"/>
        <v>0</v>
      </c>
      <c r="N1610" s="35">
        <f t="shared" si="135"/>
        <v>10000</v>
      </c>
      <c r="O1610" s="35">
        <f t="shared" si="136"/>
        <v>0.41095890410958902</v>
      </c>
      <c r="P1610" s="35">
        <f t="shared" si="137"/>
        <v>0.82191780821917804</v>
      </c>
    </row>
    <row r="1611" spans="12:16" ht="15" hidden="1" customHeight="1">
      <c r="L1611" s="43">
        <f t="shared" si="133"/>
        <v>46112</v>
      </c>
      <c r="M1611" s="35">
        <f t="shared" si="134"/>
        <v>2500</v>
      </c>
      <c r="N1611" s="35">
        <f t="shared" si="135"/>
        <v>7500</v>
      </c>
      <c r="O1611" s="35">
        <f t="shared" si="136"/>
        <v>0.41095890410958902</v>
      </c>
      <c r="P1611" s="35">
        <f t="shared" si="137"/>
        <v>0.82191780821917804</v>
      </c>
    </row>
    <row r="1612" spans="12:16" ht="15" hidden="1" customHeight="1">
      <c r="L1612" s="43">
        <f t="shared" si="133"/>
        <v>46113</v>
      </c>
      <c r="M1612" s="35">
        <f t="shared" si="134"/>
        <v>0</v>
      </c>
      <c r="N1612" s="35">
        <f t="shared" si="135"/>
        <v>7500</v>
      </c>
      <c r="O1612" s="35">
        <f t="shared" si="136"/>
        <v>0.30821917808219179</v>
      </c>
      <c r="P1612" s="35">
        <f t="shared" si="137"/>
        <v>0.61643835616438358</v>
      </c>
    </row>
    <row r="1613" spans="12:16" ht="15" hidden="1" customHeight="1">
      <c r="L1613" s="43">
        <f t="shared" si="133"/>
        <v>46114</v>
      </c>
      <c r="M1613" s="35">
        <f t="shared" si="134"/>
        <v>0</v>
      </c>
      <c r="N1613" s="35">
        <f t="shared" si="135"/>
        <v>7500</v>
      </c>
      <c r="O1613" s="35">
        <f t="shared" si="136"/>
        <v>0.30821917808219179</v>
      </c>
      <c r="P1613" s="35">
        <f t="shared" si="137"/>
        <v>0.61643835616438358</v>
      </c>
    </row>
    <row r="1614" spans="12:16" ht="15" hidden="1" customHeight="1">
      <c r="L1614" s="43">
        <f t="shared" si="133"/>
        <v>46115</v>
      </c>
      <c r="M1614" s="35">
        <f t="shared" si="134"/>
        <v>0</v>
      </c>
      <c r="N1614" s="35">
        <f t="shared" si="135"/>
        <v>7500</v>
      </c>
      <c r="O1614" s="35">
        <f t="shared" si="136"/>
        <v>0.30821917808219179</v>
      </c>
      <c r="P1614" s="35">
        <f t="shared" si="137"/>
        <v>0.61643835616438358</v>
      </c>
    </row>
    <row r="1615" spans="12:16" ht="15" hidden="1" customHeight="1">
      <c r="L1615" s="43">
        <f t="shared" si="133"/>
        <v>46116</v>
      </c>
      <c r="M1615" s="35">
        <f t="shared" si="134"/>
        <v>0</v>
      </c>
      <c r="N1615" s="35">
        <f t="shared" si="135"/>
        <v>7500</v>
      </c>
      <c r="O1615" s="35">
        <f t="shared" si="136"/>
        <v>0.30821917808219179</v>
      </c>
      <c r="P1615" s="35">
        <f t="shared" si="137"/>
        <v>0.61643835616438358</v>
      </c>
    </row>
    <row r="1616" spans="12:16" ht="15" hidden="1" customHeight="1">
      <c r="L1616" s="43">
        <f t="shared" si="133"/>
        <v>46117</v>
      </c>
      <c r="M1616" s="35">
        <f t="shared" si="134"/>
        <v>0</v>
      </c>
      <c r="N1616" s="35">
        <f t="shared" si="135"/>
        <v>7500</v>
      </c>
      <c r="O1616" s="35">
        <f t="shared" si="136"/>
        <v>0.30821917808219179</v>
      </c>
      <c r="P1616" s="35">
        <f t="shared" si="137"/>
        <v>0.61643835616438358</v>
      </c>
    </row>
    <row r="1617" spans="12:16" ht="15" hidden="1" customHeight="1">
      <c r="L1617" s="43">
        <f t="shared" si="133"/>
        <v>46118</v>
      </c>
      <c r="M1617" s="35">
        <f t="shared" si="134"/>
        <v>0</v>
      </c>
      <c r="N1617" s="35">
        <f t="shared" si="135"/>
        <v>7500</v>
      </c>
      <c r="O1617" s="35">
        <f t="shared" si="136"/>
        <v>0.30821917808219179</v>
      </c>
      <c r="P1617" s="35">
        <f t="shared" si="137"/>
        <v>0.61643835616438358</v>
      </c>
    </row>
    <row r="1618" spans="12:16" ht="15" hidden="1" customHeight="1">
      <c r="L1618" s="43">
        <f t="shared" si="133"/>
        <v>46119</v>
      </c>
      <c r="M1618" s="35">
        <f t="shared" si="134"/>
        <v>0</v>
      </c>
      <c r="N1618" s="35">
        <f t="shared" si="135"/>
        <v>7500</v>
      </c>
      <c r="O1618" s="35">
        <f t="shared" si="136"/>
        <v>0.30821917808219179</v>
      </c>
      <c r="P1618" s="35">
        <f t="shared" si="137"/>
        <v>0.61643835616438358</v>
      </c>
    </row>
    <row r="1619" spans="12:16" ht="15" hidden="1" customHeight="1">
      <c r="L1619" s="43">
        <f t="shared" si="133"/>
        <v>46120</v>
      </c>
      <c r="M1619" s="35">
        <f t="shared" si="134"/>
        <v>0</v>
      </c>
      <c r="N1619" s="35">
        <f t="shared" si="135"/>
        <v>7500</v>
      </c>
      <c r="O1619" s="35">
        <f t="shared" si="136"/>
        <v>0.30821917808219179</v>
      </c>
      <c r="P1619" s="35">
        <f t="shared" si="137"/>
        <v>0.61643835616438358</v>
      </c>
    </row>
    <row r="1620" spans="12:16" ht="15" hidden="1" customHeight="1">
      <c r="L1620" s="43">
        <f t="shared" si="133"/>
        <v>46121</v>
      </c>
      <c r="M1620" s="35">
        <f t="shared" si="134"/>
        <v>0</v>
      </c>
      <c r="N1620" s="35">
        <f t="shared" si="135"/>
        <v>7500</v>
      </c>
      <c r="O1620" s="35">
        <f t="shared" si="136"/>
        <v>0.30821917808219179</v>
      </c>
      <c r="P1620" s="35">
        <f t="shared" si="137"/>
        <v>0.61643835616438358</v>
      </c>
    </row>
    <row r="1621" spans="12:16" ht="15" hidden="1" customHeight="1">
      <c r="L1621" s="43">
        <f t="shared" si="133"/>
        <v>46122</v>
      </c>
      <c r="M1621" s="35">
        <f t="shared" si="134"/>
        <v>0</v>
      </c>
      <c r="N1621" s="35">
        <f t="shared" si="135"/>
        <v>7500</v>
      </c>
      <c r="O1621" s="35">
        <f t="shared" si="136"/>
        <v>0.30821917808219179</v>
      </c>
      <c r="P1621" s="35">
        <f t="shared" si="137"/>
        <v>0.61643835616438358</v>
      </c>
    </row>
    <row r="1622" spans="12:16" ht="15" hidden="1" customHeight="1">
      <c r="L1622" s="43">
        <f t="shared" si="133"/>
        <v>46123</v>
      </c>
      <c r="M1622" s="35">
        <f t="shared" si="134"/>
        <v>0</v>
      </c>
      <c r="N1622" s="35">
        <f t="shared" si="135"/>
        <v>7500</v>
      </c>
      <c r="O1622" s="35">
        <f t="shared" si="136"/>
        <v>0.30821917808219179</v>
      </c>
      <c r="P1622" s="35">
        <f t="shared" si="137"/>
        <v>0.61643835616438358</v>
      </c>
    </row>
    <row r="1623" spans="12:16" ht="15" hidden="1" customHeight="1">
      <c r="L1623" s="43">
        <f t="shared" si="133"/>
        <v>46124</v>
      </c>
      <c r="M1623" s="35">
        <f t="shared" si="134"/>
        <v>0</v>
      </c>
      <c r="N1623" s="35">
        <f t="shared" si="135"/>
        <v>7500</v>
      </c>
      <c r="O1623" s="35">
        <f t="shared" si="136"/>
        <v>0.30821917808219179</v>
      </c>
      <c r="P1623" s="35">
        <f t="shared" si="137"/>
        <v>0.61643835616438358</v>
      </c>
    </row>
    <row r="1624" spans="12:16" ht="15" hidden="1" customHeight="1">
      <c r="L1624" s="43">
        <f t="shared" si="133"/>
        <v>46125</v>
      </c>
      <c r="M1624" s="35">
        <f t="shared" si="134"/>
        <v>0</v>
      </c>
      <c r="N1624" s="35">
        <f t="shared" si="135"/>
        <v>7500</v>
      </c>
      <c r="O1624" s="35">
        <f t="shared" si="136"/>
        <v>0.30821917808219179</v>
      </c>
      <c r="P1624" s="35">
        <f t="shared" si="137"/>
        <v>0.61643835616438358</v>
      </c>
    </row>
    <row r="1625" spans="12:16" ht="15" hidden="1" customHeight="1">
      <c r="L1625" s="43">
        <f t="shared" si="133"/>
        <v>46126</v>
      </c>
      <c r="M1625" s="35">
        <f t="shared" si="134"/>
        <v>0</v>
      </c>
      <c r="N1625" s="35">
        <f t="shared" si="135"/>
        <v>7500</v>
      </c>
      <c r="O1625" s="35">
        <f t="shared" si="136"/>
        <v>0.30821917808219179</v>
      </c>
      <c r="P1625" s="35">
        <f t="shared" si="137"/>
        <v>0.61643835616438358</v>
      </c>
    </row>
    <row r="1626" spans="12:16" ht="15" hidden="1" customHeight="1">
      <c r="L1626" s="43">
        <f t="shared" si="133"/>
        <v>46127</v>
      </c>
      <c r="M1626" s="35">
        <f t="shared" si="134"/>
        <v>0</v>
      </c>
      <c r="N1626" s="35">
        <f t="shared" si="135"/>
        <v>7500</v>
      </c>
      <c r="O1626" s="35">
        <f t="shared" si="136"/>
        <v>0.30821917808219179</v>
      </c>
      <c r="P1626" s="35">
        <f t="shared" si="137"/>
        <v>0.61643835616438358</v>
      </c>
    </row>
    <row r="1627" spans="12:16" ht="15" hidden="1" customHeight="1">
      <c r="L1627" s="43">
        <f t="shared" si="133"/>
        <v>46128</v>
      </c>
      <c r="M1627" s="35">
        <f t="shared" si="134"/>
        <v>0</v>
      </c>
      <c r="N1627" s="35">
        <f t="shared" si="135"/>
        <v>7500</v>
      </c>
      <c r="O1627" s="35">
        <f t="shared" si="136"/>
        <v>0.30821917808219179</v>
      </c>
      <c r="P1627" s="35">
        <f t="shared" si="137"/>
        <v>0.61643835616438358</v>
      </c>
    </row>
    <row r="1628" spans="12:16" ht="15" hidden="1" customHeight="1">
      <c r="L1628" s="43">
        <f t="shared" si="133"/>
        <v>46129</v>
      </c>
      <c r="M1628" s="35">
        <f t="shared" si="134"/>
        <v>0</v>
      </c>
      <c r="N1628" s="35">
        <f t="shared" si="135"/>
        <v>7500</v>
      </c>
      <c r="O1628" s="35">
        <f t="shared" si="136"/>
        <v>0.30821917808219179</v>
      </c>
      <c r="P1628" s="35">
        <f t="shared" si="137"/>
        <v>0.61643835616438358</v>
      </c>
    </row>
    <row r="1629" spans="12:16" ht="15" hidden="1" customHeight="1">
      <c r="L1629" s="43">
        <f t="shared" si="133"/>
        <v>46130</v>
      </c>
      <c r="M1629" s="35">
        <f t="shared" si="134"/>
        <v>0</v>
      </c>
      <c r="N1629" s="35">
        <f t="shared" si="135"/>
        <v>7500</v>
      </c>
      <c r="O1629" s="35">
        <f t="shared" si="136"/>
        <v>0.30821917808219179</v>
      </c>
      <c r="P1629" s="35">
        <f t="shared" si="137"/>
        <v>0.61643835616438358</v>
      </c>
    </row>
    <row r="1630" spans="12:16" ht="15" hidden="1" customHeight="1">
      <c r="L1630" s="43">
        <f t="shared" si="133"/>
        <v>46131</v>
      </c>
      <c r="M1630" s="35">
        <f t="shared" si="134"/>
        <v>0</v>
      </c>
      <c r="N1630" s="35">
        <f t="shared" si="135"/>
        <v>7500</v>
      </c>
      <c r="O1630" s="35">
        <f t="shared" si="136"/>
        <v>0.30821917808219179</v>
      </c>
      <c r="P1630" s="35">
        <f t="shared" si="137"/>
        <v>0.61643835616438358</v>
      </c>
    </row>
    <row r="1631" spans="12:16" ht="15" hidden="1" customHeight="1">
      <c r="L1631" s="43">
        <f t="shared" ref="L1631:L1694" si="138">IFERROR(IF(MAX(L1630+1,Дата_получения_Займа+1)&gt;Дата_погашения_Займа,"-",MAX(L1630+1,Дата_получения_Займа+1)),"-")</f>
        <v>46132</v>
      </c>
      <c r="M1631" s="35">
        <f t="shared" ref="M1631:M1694" si="139">IFERROR(VLOOKUP(L1631,$B$31:$E$59,4,FALSE),0)</f>
        <v>0</v>
      </c>
      <c r="N1631" s="35">
        <f t="shared" ref="N1631:N1694" si="140">IF(ISNUMBER(N1630),N1630-M1631,$E$20)</f>
        <v>7500</v>
      </c>
      <c r="O1631" s="35">
        <f t="shared" ref="O1631:O1694" si="141">IFERROR(IF(ISNUMBER(N1630),N1630,$E$20)*IF(L1631&gt;=$J$20,$E$25,$E$24)/IF(MOD(YEAR(L1631),4),365,366)*IF(ISBLANK(L1630),L1631-$E$22,L1631-L1630),0)</f>
        <v>0.30821917808219179</v>
      </c>
      <c r="P1631" s="35">
        <f t="shared" ref="P1631:P1694" si="142">IFERROR(IF(ISNUMBER(N1630),N1630,$E$20)*3%/IF(MOD(YEAR(L1631),4),365,366)*IF(ISBLANK(L1630),(L1631-$E$22),L1631-L1630),0)</f>
        <v>0.61643835616438358</v>
      </c>
    </row>
    <row r="1632" spans="12:16" ht="15" hidden="1" customHeight="1">
      <c r="L1632" s="43">
        <f t="shared" si="138"/>
        <v>46133</v>
      </c>
      <c r="M1632" s="35">
        <f t="shared" si="139"/>
        <v>0</v>
      </c>
      <c r="N1632" s="35">
        <f t="shared" si="140"/>
        <v>7500</v>
      </c>
      <c r="O1632" s="35">
        <f t="shared" si="141"/>
        <v>0.30821917808219179</v>
      </c>
      <c r="P1632" s="35">
        <f t="shared" si="142"/>
        <v>0.61643835616438358</v>
      </c>
    </row>
    <row r="1633" spans="12:16" ht="15" hidden="1" customHeight="1">
      <c r="L1633" s="43">
        <f t="shared" si="138"/>
        <v>46134</v>
      </c>
      <c r="M1633" s="35">
        <f t="shared" si="139"/>
        <v>0</v>
      </c>
      <c r="N1633" s="35">
        <f t="shared" si="140"/>
        <v>7500</v>
      </c>
      <c r="O1633" s="35">
        <f t="shared" si="141"/>
        <v>0.30821917808219179</v>
      </c>
      <c r="P1633" s="35">
        <f t="shared" si="142"/>
        <v>0.61643835616438358</v>
      </c>
    </row>
    <row r="1634" spans="12:16" ht="15" hidden="1" customHeight="1">
      <c r="L1634" s="43">
        <f t="shared" si="138"/>
        <v>46135</v>
      </c>
      <c r="M1634" s="35">
        <f t="shared" si="139"/>
        <v>0</v>
      </c>
      <c r="N1634" s="35">
        <f t="shared" si="140"/>
        <v>7500</v>
      </c>
      <c r="O1634" s="35">
        <f t="shared" si="141"/>
        <v>0.30821917808219179</v>
      </c>
      <c r="P1634" s="35">
        <f t="shared" si="142"/>
        <v>0.61643835616438358</v>
      </c>
    </row>
    <row r="1635" spans="12:16" ht="15" hidden="1" customHeight="1">
      <c r="L1635" s="43">
        <f t="shared" si="138"/>
        <v>46136</v>
      </c>
      <c r="M1635" s="35">
        <f t="shared" si="139"/>
        <v>0</v>
      </c>
      <c r="N1635" s="35">
        <f t="shared" si="140"/>
        <v>7500</v>
      </c>
      <c r="O1635" s="35">
        <f t="shared" si="141"/>
        <v>0.30821917808219179</v>
      </c>
      <c r="P1635" s="35">
        <f t="shared" si="142"/>
        <v>0.61643835616438358</v>
      </c>
    </row>
    <row r="1636" spans="12:16" ht="15" hidden="1" customHeight="1">
      <c r="L1636" s="43">
        <f t="shared" si="138"/>
        <v>46137</v>
      </c>
      <c r="M1636" s="35">
        <f t="shared" si="139"/>
        <v>0</v>
      </c>
      <c r="N1636" s="35">
        <f t="shared" si="140"/>
        <v>7500</v>
      </c>
      <c r="O1636" s="35">
        <f t="shared" si="141"/>
        <v>0.30821917808219179</v>
      </c>
      <c r="P1636" s="35">
        <f t="shared" si="142"/>
        <v>0.61643835616438358</v>
      </c>
    </row>
    <row r="1637" spans="12:16" ht="15" hidden="1" customHeight="1">
      <c r="L1637" s="43">
        <f t="shared" si="138"/>
        <v>46138</v>
      </c>
      <c r="M1637" s="35">
        <f t="shared" si="139"/>
        <v>0</v>
      </c>
      <c r="N1637" s="35">
        <f t="shared" si="140"/>
        <v>7500</v>
      </c>
      <c r="O1637" s="35">
        <f t="shared" si="141"/>
        <v>0.30821917808219179</v>
      </c>
      <c r="P1637" s="35">
        <f t="shared" si="142"/>
        <v>0.61643835616438358</v>
      </c>
    </row>
    <row r="1638" spans="12:16" ht="15" hidden="1" customHeight="1">
      <c r="L1638" s="43">
        <f t="shared" si="138"/>
        <v>46139</v>
      </c>
      <c r="M1638" s="35">
        <f t="shared" si="139"/>
        <v>0</v>
      </c>
      <c r="N1638" s="35">
        <f t="shared" si="140"/>
        <v>7500</v>
      </c>
      <c r="O1638" s="35">
        <f t="shared" si="141"/>
        <v>0.30821917808219179</v>
      </c>
      <c r="P1638" s="35">
        <f t="shared" si="142"/>
        <v>0.61643835616438358</v>
      </c>
    </row>
    <row r="1639" spans="12:16" ht="15" hidden="1" customHeight="1">
      <c r="L1639" s="43">
        <f t="shared" si="138"/>
        <v>46140</v>
      </c>
      <c r="M1639" s="35">
        <f t="shared" si="139"/>
        <v>0</v>
      </c>
      <c r="N1639" s="35">
        <f t="shared" si="140"/>
        <v>7500</v>
      </c>
      <c r="O1639" s="35">
        <f t="shared" si="141"/>
        <v>0.30821917808219179</v>
      </c>
      <c r="P1639" s="35">
        <f t="shared" si="142"/>
        <v>0.61643835616438358</v>
      </c>
    </row>
    <row r="1640" spans="12:16" ht="15" hidden="1" customHeight="1">
      <c r="L1640" s="43">
        <f t="shared" si="138"/>
        <v>46141</v>
      </c>
      <c r="M1640" s="35">
        <f t="shared" si="139"/>
        <v>0</v>
      </c>
      <c r="N1640" s="35">
        <f t="shared" si="140"/>
        <v>7500</v>
      </c>
      <c r="O1640" s="35">
        <f t="shared" si="141"/>
        <v>0.30821917808219179</v>
      </c>
      <c r="P1640" s="35">
        <f t="shared" si="142"/>
        <v>0.61643835616438358</v>
      </c>
    </row>
    <row r="1641" spans="12:16" ht="15" hidden="1" customHeight="1">
      <c r="L1641" s="43">
        <f t="shared" si="138"/>
        <v>46142</v>
      </c>
      <c r="M1641" s="35">
        <f t="shared" si="139"/>
        <v>0</v>
      </c>
      <c r="N1641" s="35">
        <f t="shared" si="140"/>
        <v>7500</v>
      </c>
      <c r="O1641" s="35">
        <f t="shared" si="141"/>
        <v>0.30821917808219179</v>
      </c>
      <c r="P1641" s="35">
        <f t="shared" si="142"/>
        <v>0.61643835616438358</v>
      </c>
    </row>
    <row r="1642" spans="12:16" ht="15" hidden="1" customHeight="1">
      <c r="L1642" s="43">
        <f t="shared" si="138"/>
        <v>46143</v>
      </c>
      <c r="M1642" s="35">
        <f t="shared" si="139"/>
        <v>0</v>
      </c>
      <c r="N1642" s="35">
        <f t="shared" si="140"/>
        <v>7500</v>
      </c>
      <c r="O1642" s="35">
        <f t="shared" si="141"/>
        <v>0.30821917808219179</v>
      </c>
      <c r="P1642" s="35">
        <f t="shared" si="142"/>
        <v>0.61643835616438358</v>
      </c>
    </row>
    <row r="1643" spans="12:16" ht="15" hidden="1" customHeight="1">
      <c r="L1643" s="43">
        <f t="shared" si="138"/>
        <v>46144</v>
      </c>
      <c r="M1643" s="35">
        <f t="shared" si="139"/>
        <v>0</v>
      </c>
      <c r="N1643" s="35">
        <f t="shared" si="140"/>
        <v>7500</v>
      </c>
      <c r="O1643" s="35">
        <f t="shared" si="141"/>
        <v>0.30821917808219179</v>
      </c>
      <c r="P1643" s="35">
        <f t="shared" si="142"/>
        <v>0.61643835616438358</v>
      </c>
    </row>
    <row r="1644" spans="12:16" ht="15" hidden="1" customHeight="1">
      <c r="L1644" s="43">
        <f t="shared" si="138"/>
        <v>46145</v>
      </c>
      <c r="M1644" s="35">
        <f t="shared" si="139"/>
        <v>0</v>
      </c>
      <c r="N1644" s="35">
        <f t="shared" si="140"/>
        <v>7500</v>
      </c>
      <c r="O1644" s="35">
        <f t="shared" si="141"/>
        <v>0.30821917808219179</v>
      </c>
      <c r="P1644" s="35">
        <f t="shared" si="142"/>
        <v>0.61643835616438358</v>
      </c>
    </row>
    <row r="1645" spans="12:16" ht="15" hidden="1" customHeight="1">
      <c r="L1645" s="43">
        <f t="shared" si="138"/>
        <v>46146</v>
      </c>
      <c r="M1645" s="35">
        <f t="shared" si="139"/>
        <v>0</v>
      </c>
      <c r="N1645" s="35">
        <f t="shared" si="140"/>
        <v>7500</v>
      </c>
      <c r="O1645" s="35">
        <f t="shared" si="141"/>
        <v>0.30821917808219179</v>
      </c>
      <c r="P1645" s="35">
        <f t="shared" si="142"/>
        <v>0.61643835616438358</v>
      </c>
    </row>
    <row r="1646" spans="12:16" ht="15" hidden="1" customHeight="1">
      <c r="L1646" s="43">
        <f t="shared" si="138"/>
        <v>46147</v>
      </c>
      <c r="M1646" s="35">
        <f t="shared" si="139"/>
        <v>0</v>
      </c>
      <c r="N1646" s="35">
        <f t="shared" si="140"/>
        <v>7500</v>
      </c>
      <c r="O1646" s="35">
        <f t="shared" si="141"/>
        <v>0.30821917808219179</v>
      </c>
      <c r="P1646" s="35">
        <f t="shared" si="142"/>
        <v>0.61643835616438358</v>
      </c>
    </row>
    <row r="1647" spans="12:16" ht="15" hidden="1" customHeight="1">
      <c r="L1647" s="43">
        <f t="shared" si="138"/>
        <v>46148</v>
      </c>
      <c r="M1647" s="35">
        <f t="shared" si="139"/>
        <v>0</v>
      </c>
      <c r="N1647" s="35">
        <f t="shared" si="140"/>
        <v>7500</v>
      </c>
      <c r="O1647" s="35">
        <f t="shared" si="141"/>
        <v>0.30821917808219179</v>
      </c>
      <c r="P1647" s="35">
        <f t="shared" si="142"/>
        <v>0.61643835616438358</v>
      </c>
    </row>
    <row r="1648" spans="12:16" ht="15" hidden="1" customHeight="1">
      <c r="L1648" s="43">
        <f t="shared" si="138"/>
        <v>46149</v>
      </c>
      <c r="M1648" s="35">
        <f t="shared" si="139"/>
        <v>0</v>
      </c>
      <c r="N1648" s="35">
        <f t="shared" si="140"/>
        <v>7500</v>
      </c>
      <c r="O1648" s="35">
        <f t="shared" si="141"/>
        <v>0.30821917808219179</v>
      </c>
      <c r="P1648" s="35">
        <f t="shared" si="142"/>
        <v>0.61643835616438358</v>
      </c>
    </row>
    <row r="1649" spans="12:16" ht="15" hidden="1" customHeight="1">
      <c r="L1649" s="43">
        <f t="shared" si="138"/>
        <v>46150</v>
      </c>
      <c r="M1649" s="35">
        <f t="shared" si="139"/>
        <v>0</v>
      </c>
      <c r="N1649" s="35">
        <f t="shared" si="140"/>
        <v>7500</v>
      </c>
      <c r="O1649" s="35">
        <f t="shared" si="141"/>
        <v>0.30821917808219179</v>
      </c>
      <c r="P1649" s="35">
        <f t="shared" si="142"/>
        <v>0.61643835616438358</v>
      </c>
    </row>
    <row r="1650" spans="12:16" ht="15" hidden="1" customHeight="1">
      <c r="L1650" s="43">
        <f t="shared" si="138"/>
        <v>46151</v>
      </c>
      <c r="M1650" s="35">
        <f t="shared" si="139"/>
        <v>0</v>
      </c>
      <c r="N1650" s="35">
        <f t="shared" si="140"/>
        <v>7500</v>
      </c>
      <c r="O1650" s="35">
        <f t="shared" si="141"/>
        <v>0.30821917808219179</v>
      </c>
      <c r="P1650" s="35">
        <f t="shared" si="142"/>
        <v>0.61643835616438358</v>
      </c>
    </row>
    <row r="1651" spans="12:16" ht="15" hidden="1" customHeight="1">
      <c r="L1651" s="43">
        <f t="shared" si="138"/>
        <v>46152</v>
      </c>
      <c r="M1651" s="35">
        <f t="shared" si="139"/>
        <v>0</v>
      </c>
      <c r="N1651" s="35">
        <f t="shared" si="140"/>
        <v>7500</v>
      </c>
      <c r="O1651" s="35">
        <f t="shared" si="141"/>
        <v>0.30821917808219179</v>
      </c>
      <c r="P1651" s="35">
        <f t="shared" si="142"/>
        <v>0.61643835616438358</v>
      </c>
    </row>
    <row r="1652" spans="12:16" ht="15" hidden="1" customHeight="1">
      <c r="L1652" s="43">
        <f t="shared" si="138"/>
        <v>46153</v>
      </c>
      <c r="M1652" s="35">
        <f t="shared" si="139"/>
        <v>0</v>
      </c>
      <c r="N1652" s="35">
        <f t="shared" si="140"/>
        <v>7500</v>
      </c>
      <c r="O1652" s="35">
        <f t="shared" si="141"/>
        <v>0.30821917808219179</v>
      </c>
      <c r="P1652" s="35">
        <f t="shared" si="142"/>
        <v>0.61643835616438358</v>
      </c>
    </row>
    <row r="1653" spans="12:16" ht="15" hidden="1" customHeight="1">
      <c r="L1653" s="43">
        <f t="shared" si="138"/>
        <v>46154</v>
      </c>
      <c r="M1653" s="35">
        <f t="shared" si="139"/>
        <v>0</v>
      </c>
      <c r="N1653" s="35">
        <f t="shared" si="140"/>
        <v>7500</v>
      </c>
      <c r="O1653" s="35">
        <f t="shared" si="141"/>
        <v>0.30821917808219179</v>
      </c>
      <c r="P1653" s="35">
        <f t="shared" si="142"/>
        <v>0.61643835616438358</v>
      </c>
    </row>
    <row r="1654" spans="12:16" ht="15" hidden="1" customHeight="1">
      <c r="L1654" s="43">
        <f t="shared" si="138"/>
        <v>46155</v>
      </c>
      <c r="M1654" s="35">
        <f t="shared" si="139"/>
        <v>0</v>
      </c>
      <c r="N1654" s="35">
        <f t="shared" si="140"/>
        <v>7500</v>
      </c>
      <c r="O1654" s="35">
        <f t="shared" si="141"/>
        <v>0.30821917808219179</v>
      </c>
      <c r="P1654" s="35">
        <f t="shared" si="142"/>
        <v>0.61643835616438358</v>
      </c>
    </row>
    <row r="1655" spans="12:16" ht="15" hidden="1" customHeight="1">
      <c r="L1655" s="43">
        <f t="shared" si="138"/>
        <v>46156</v>
      </c>
      <c r="M1655" s="35">
        <f t="shared" si="139"/>
        <v>0</v>
      </c>
      <c r="N1655" s="35">
        <f t="shared" si="140"/>
        <v>7500</v>
      </c>
      <c r="O1655" s="35">
        <f t="shared" si="141"/>
        <v>0.30821917808219179</v>
      </c>
      <c r="P1655" s="35">
        <f t="shared" si="142"/>
        <v>0.61643835616438358</v>
      </c>
    </row>
    <row r="1656" spans="12:16" ht="15" hidden="1" customHeight="1">
      <c r="L1656" s="43">
        <f t="shared" si="138"/>
        <v>46157</v>
      </c>
      <c r="M1656" s="35">
        <f t="shared" si="139"/>
        <v>0</v>
      </c>
      <c r="N1656" s="35">
        <f t="shared" si="140"/>
        <v>7500</v>
      </c>
      <c r="O1656" s="35">
        <f t="shared" si="141"/>
        <v>0.30821917808219179</v>
      </c>
      <c r="P1656" s="35">
        <f t="shared" si="142"/>
        <v>0.61643835616438358</v>
      </c>
    </row>
    <row r="1657" spans="12:16" ht="15" hidden="1" customHeight="1">
      <c r="L1657" s="43">
        <f t="shared" si="138"/>
        <v>46158</v>
      </c>
      <c r="M1657" s="35">
        <f t="shared" si="139"/>
        <v>0</v>
      </c>
      <c r="N1657" s="35">
        <f t="shared" si="140"/>
        <v>7500</v>
      </c>
      <c r="O1657" s="35">
        <f t="shared" si="141"/>
        <v>0.30821917808219179</v>
      </c>
      <c r="P1657" s="35">
        <f t="shared" si="142"/>
        <v>0.61643835616438358</v>
      </c>
    </row>
    <row r="1658" spans="12:16" ht="15" hidden="1" customHeight="1">
      <c r="L1658" s="43">
        <f t="shared" si="138"/>
        <v>46159</v>
      </c>
      <c r="M1658" s="35">
        <f t="shared" si="139"/>
        <v>0</v>
      </c>
      <c r="N1658" s="35">
        <f t="shared" si="140"/>
        <v>7500</v>
      </c>
      <c r="O1658" s="35">
        <f t="shared" si="141"/>
        <v>0.30821917808219179</v>
      </c>
      <c r="P1658" s="35">
        <f t="shared" si="142"/>
        <v>0.61643835616438358</v>
      </c>
    </row>
    <row r="1659" spans="12:16" ht="15" hidden="1" customHeight="1">
      <c r="L1659" s="43">
        <f t="shared" si="138"/>
        <v>46160</v>
      </c>
      <c r="M1659" s="35">
        <f t="shared" si="139"/>
        <v>0</v>
      </c>
      <c r="N1659" s="35">
        <f t="shared" si="140"/>
        <v>7500</v>
      </c>
      <c r="O1659" s="35">
        <f t="shared" si="141"/>
        <v>0.30821917808219179</v>
      </c>
      <c r="P1659" s="35">
        <f t="shared" si="142"/>
        <v>0.61643835616438358</v>
      </c>
    </row>
    <row r="1660" spans="12:16" ht="15" hidden="1" customHeight="1">
      <c r="L1660" s="43">
        <f t="shared" si="138"/>
        <v>46161</v>
      </c>
      <c r="M1660" s="35">
        <f t="shared" si="139"/>
        <v>0</v>
      </c>
      <c r="N1660" s="35">
        <f t="shared" si="140"/>
        <v>7500</v>
      </c>
      <c r="O1660" s="35">
        <f t="shared" si="141"/>
        <v>0.30821917808219179</v>
      </c>
      <c r="P1660" s="35">
        <f t="shared" si="142"/>
        <v>0.61643835616438358</v>
      </c>
    </row>
    <row r="1661" spans="12:16" ht="15" hidden="1" customHeight="1">
      <c r="L1661" s="43">
        <f t="shared" si="138"/>
        <v>46162</v>
      </c>
      <c r="M1661" s="35">
        <f t="shared" si="139"/>
        <v>0</v>
      </c>
      <c r="N1661" s="35">
        <f t="shared" si="140"/>
        <v>7500</v>
      </c>
      <c r="O1661" s="35">
        <f t="shared" si="141"/>
        <v>0.30821917808219179</v>
      </c>
      <c r="P1661" s="35">
        <f t="shared" si="142"/>
        <v>0.61643835616438358</v>
      </c>
    </row>
    <row r="1662" spans="12:16" ht="15" hidden="1" customHeight="1">
      <c r="L1662" s="43">
        <f t="shared" si="138"/>
        <v>46163</v>
      </c>
      <c r="M1662" s="35">
        <f t="shared" si="139"/>
        <v>0</v>
      </c>
      <c r="N1662" s="35">
        <f t="shared" si="140"/>
        <v>7500</v>
      </c>
      <c r="O1662" s="35">
        <f t="shared" si="141"/>
        <v>0.30821917808219179</v>
      </c>
      <c r="P1662" s="35">
        <f t="shared" si="142"/>
        <v>0.61643835616438358</v>
      </c>
    </row>
    <row r="1663" spans="12:16" ht="15" hidden="1" customHeight="1">
      <c r="L1663" s="43">
        <f t="shared" si="138"/>
        <v>46164</v>
      </c>
      <c r="M1663" s="35">
        <f t="shared" si="139"/>
        <v>0</v>
      </c>
      <c r="N1663" s="35">
        <f t="shared" si="140"/>
        <v>7500</v>
      </c>
      <c r="O1663" s="35">
        <f t="shared" si="141"/>
        <v>0.30821917808219179</v>
      </c>
      <c r="P1663" s="35">
        <f t="shared" si="142"/>
        <v>0.61643835616438358</v>
      </c>
    </row>
    <row r="1664" spans="12:16" ht="15" hidden="1" customHeight="1">
      <c r="L1664" s="43">
        <f t="shared" si="138"/>
        <v>46165</v>
      </c>
      <c r="M1664" s="35">
        <f t="shared" si="139"/>
        <v>0</v>
      </c>
      <c r="N1664" s="35">
        <f t="shared" si="140"/>
        <v>7500</v>
      </c>
      <c r="O1664" s="35">
        <f t="shared" si="141"/>
        <v>0.30821917808219179</v>
      </c>
      <c r="P1664" s="35">
        <f t="shared" si="142"/>
        <v>0.61643835616438358</v>
      </c>
    </row>
    <row r="1665" spans="12:16" ht="15" hidden="1" customHeight="1">
      <c r="L1665" s="43">
        <f t="shared" si="138"/>
        <v>46166</v>
      </c>
      <c r="M1665" s="35">
        <f t="shared" si="139"/>
        <v>0</v>
      </c>
      <c r="N1665" s="35">
        <f t="shared" si="140"/>
        <v>7500</v>
      </c>
      <c r="O1665" s="35">
        <f t="shared" si="141"/>
        <v>0.30821917808219179</v>
      </c>
      <c r="P1665" s="35">
        <f t="shared" si="142"/>
        <v>0.61643835616438358</v>
      </c>
    </row>
    <row r="1666" spans="12:16" ht="15" hidden="1" customHeight="1">
      <c r="L1666" s="43">
        <f t="shared" si="138"/>
        <v>46167</v>
      </c>
      <c r="M1666" s="35">
        <f t="shared" si="139"/>
        <v>0</v>
      </c>
      <c r="N1666" s="35">
        <f t="shared" si="140"/>
        <v>7500</v>
      </c>
      <c r="O1666" s="35">
        <f t="shared" si="141"/>
        <v>0.30821917808219179</v>
      </c>
      <c r="P1666" s="35">
        <f t="shared" si="142"/>
        <v>0.61643835616438358</v>
      </c>
    </row>
    <row r="1667" spans="12:16" ht="15" hidden="1" customHeight="1">
      <c r="L1667" s="43">
        <f t="shared" si="138"/>
        <v>46168</v>
      </c>
      <c r="M1667" s="35">
        <f t="shared" si="139"/>
        <v>0</v>
      </c>
      <c r="N1667" s="35">
        <f t="shared" si="140"/>
        <v>7500</v>
      </c>
      <c r="O1667" s="35">
        <f t="shared" si="141"/>
        <v>0.30821917808219179</v>
      </c>
      <c r="P1667" s="35">
        <f t="shared" si="142"/>
        <v>0.61643835616438358</v>
      </c>
    </row>
    <row r="1668" spans="12:16" ht="15" hidden="1" customHeight="1">
      <c r="L1668" s="43">
        <f t="shared" si="138"/>
        <v>46169</v>
      </c>
      <c r="M1668" s="35">
        <f t="shared" si="139"/>
        <v>0</v>
      </c>
      <c r="N1668" s="35">
        <f t="shared" si="140"/>
        <v>7500</v>
      </c>
      <c r="O1668" s="35">
        <f t="shared" si="141"/>
        <v>0.30821917808219179</v>
      </c>
      <c r="P1668" s="35">
        <f t="shared" si="142"/>
        <v>0.61643835616438358</v>
      </c>
    </row>
    <row r="1669" spans="12:16" ht="15" hidden="1" customHeight="1">
      <c r="L1669" s="43">
        <f t="shared" si="138"/>
        <v>46170</v>
      </c>
      <c r="M1669" s="35">
        <f t="shared" si="139"/>
        <v>0</v>
      </c>
      <c r="N1669" s="35">
        <f t="shared" si="140"/>
        <v>7500</v>
      </c>
      <c r="O1669" s="35">
        <f t="shared" si="141"/>
        <v>0.30821917808219179</v>
      </c>
      <c r="P1669" s="35">
        <f t="shared" si="142"/>
        <v>0.61643835616438358</v>
      </c>
    </row>
    <row r="1670" spans="12:16" ht="15" hidden="1" customHeight="1">
      <c r="L1670" s="43">
        <f t="shared" si="138"/>
        <v>46171</v>
      </c>
      <c r="M1670" s="35">
        <f t="shared" si="139"/>
        <v>0</v>
      </c>
      <c r="N1670" s="35">
        <f t="shared" si="140"/>
        <v>7500</v>
      </c>
      <c r="O1670" s="35">
        <f t="shared" si="141"/>
        <v>0.30821917808219179</v>
      </c>
      <c r="P1670" s="35">
        <f t="shared" si="142"/>
        <v>0.61643835616438358</v>
      </c>
    </row>
    <row r="1671" spans="12:16" ht="15" hidden="1" customHeight="1">
      <c r="L1671" s="43">
        <f t="shared" si="138"/>
        <v>46172</v>
      </c>
      <c r="M1671" s="35">
        <f t="shared" si="139"/>
        <v>0</v>
      </c>
      <c r="N1671" s="35">
        <f t="shared" si="140"/>
        <v>7500</v>
      </c>
      <c r="O1671" s="35">
        <f t="shared" si="141"/>
        <v>0.30821917808219179</v>
      </c>
      <c r="P1671" s="35">
        <f t="shared" si="142"/>
        <v>0.61643835616438358</v>
      </c>
    </row>
    <row r="1672" spans="12:16" ht="15" hidden="1" customHeight="1">
      <c r="L1672" s="43">
        <f t="shared" si="138"/>
        <v>46173</v>
      </c>
      <c r="M1672" s="35">
        <f t="shared" si="139"/>
        <v>0</v>
      </c>
      <c r="N1672" s="35">
        <f t="shared" si="140"/>
        <v>7500</v>
      </c>
      <c r="O1672" s="35">
        <f t="shared" si="141"/>
        <v>0.30821917808219179</v>
      </c>
      <c r="P1672" s="35">
        <f t="shared" si="142"/>
        <v>0.61643835616438358</v>
      </c>
    </row>
    <row r="1673" spans="12:16" ht="15" hidden="1" customHeight="1">
      <c r="L1673" s="43">
        <f t="shared" si="138"/>
        <v>46174</v>
      </c>
      <c r="M1673" s="35">
        <f t="shared" si="139"/>
        <v>0</v>
      </c>
      <c r="N1673" s="35">
        <f t="shared" si="140"/>
        <v>7500</v>
      </c>
      <c r="O1673" s="35">
        <f t="shared" si="141"/>
        <v>0.30821917808219179</v>
      </c>
      <c r="P1673" s="35">
        <f t="shared" si="142"/>
        <v>0.61643835616438358</v>
      </c>
    </row>
    <row r="1674" spans="12:16" ht="15" hidden="1" customHeight="1">
      <c r="L1674" s="43">
        <f t="shared" si="138"/>
        <v>46175</v>
      </c>
      <c r="M1674" s="35">
        <f t="shared" si="139"/>
        <v>0</v>
      </c>
      <c r="N1674" s="35">
        <f t="shared" si="140"/>
        <v>7500</v>
      </c>
      <c r="O1674" s="35">
        <f t="shared" si="141"/>
        <v>0.30821917808219179</v>
      </c>
      <c r="P1674" s="35">
        <f t="shared" si="142"/>
        <v>0.61643835616438358</v>
      </c>
    </row>
    <row r="1675" spans="12:16" ht="15" hidden="1" customHeight="1">
      <c r="L1675" s="43">
        <f t="shared" si="138"/>
        <v>46176</v>
      </c>
      <c r="M1675" s="35">
        <f t="shared" si="139"/>
        <v>0</v>
      </c>
      <c r="N1675" s="35">
        <f t="shared" si="140"/>
        <v>7500</v>
      </c>
      <c r="O1675" s="35">
        <f t="shared" si="141"/>
        <v>0.30821917808219179</v>
      </c>
      <c r="P1675" s="35">
        <f t="shared" si="142"/>
        <v>0.61643835616438358</v>
      </c>
    </row>
    <row r="1676" spans="12:16" ht="15" hidden="1" customHeight="1">
      <c r="L1676" s="43">
        <f t="shared" si="138"/>
        <v>46177</v>
      </c>
      <c r="M1676" s="35">
        <f t="shared" si="139"/>
        <v>0</v>
      </c>
      <c r="N1676" s="35">
        <f t="shared" si="140"/>
        <v>7500</v>
      </c>
      <c r="O1676" s="35">
        <f t="shared" si="141"/>
        <v>0.30821917808219179</v>
      </c>
      <c r="P1676" s="35">
        <f t="shared" si="142"/>
        <v>0.61643835616438358</v>
      </c>
    </row>
    <row r="1677" spans="12:16" ht="15" hidden="1" customHeight="1">
      <c r="L1677" s="43">
        <f t="shared" si="138"/>
        <v>46178</v>
      </c>
      <c r="M1677" s="35">
        <f t="shared" si="139"/>
        <v>0</v>
      </c>
      <c r="N1677" s="35">
        <f t="shared" si="140"/>
        <v>7500</v>
      </c>
      <c r="O1677" s="35">
        <f t="shared" si="141"/>
        <v>0.30821917808219179</v>
      </c>
      <c r="P1677" s="35">
        <f t="shared" si="142"/>
        <v>0.61643835616438358</v>
      </c>
    </row>
    <row r="1678" spans="12:16" ht="15" hidden="1" customHeight="1">
      <c r="L1678" s="43">
        <f t="shared" si="138"/>
        <v>46179</v>
      </c>
      <c r="M1678" s="35">
        <f t="shared" si="139"/>
        <v>0</v>
      </c>
      <c r="N1678" s="35">
        <f t="shared" si="140"/>
        <v>7500</v>
      </c>
      <c r="O1678" s="35">
        <f t="shared" si="141"/>
        <v>0.30821917808219179</v>
      </c>
      <c r="P1678" s="35">
        <f t="shared" si="142"/>
        <v>0.61643835616438358</v>
      </c>
    </row>
    <row r="1679" spans="12:16" ht="15" hidden="1" customHeight="1">
      <c r="L1679" s="43">
        <f t="shared" si="138"/>
        <v>46180</v>
      </c>
      <c r="M1679" s="35">
        <f t="shared" si="139"/>
        <v>0</v>
      </c>
      <c r="N1679" s="35">
        <f t="shared" si="140"/>
        <v>7500</v>
      </c>
      <c r="O1679" s="35">
        <f t="shared" si="141"/>
        <v>0.30821917808219179</v>
      </c>
      <c r="P1679" s="35">
        <f t="shared" si="142"/>
        <v>0.61643835616438358</v>
      </c>
    </row>
    <row r="1680" spans="12:16" ht="15" hidden="1" customHeight="1">
      <c r="L1680" s="43">
        <f t="shared" si="138"/>
        <v>46181</v>
      </c>
      <c r="M1680" s="35">
        <f t="shared" si="139"/>
        <v>0</v>
      </c>
      <c r="N1680" s="35">
        <f t="shared" si="140"/>
        <v>7500</v>
      </c>
      <c r="O1680" s="35">
        <f t="shared" si="141"/>
        <v>0.30821917808219179</v>
      </c>
      <c r="P1680" s="35">
        <f t="shared" si="142"/>
        <v>0.61643835616438358</v>
      </c>
    </row>
    <row r="1681" spans="12:16" ht="15" hidden="1" customHeight="1">
      <c r="L1681" s="43">
        <f t="shared" si="138"/>
        <v>46182</v>
      </c>
      <c r="M1681" s="35">
        <f t="shared" si="139"/>
        <v>0</v>
      </c>
      <c r="N1681" s="35">
        <f t="shared" si="140"/>
        <v>7500</v>
      </c>
      <c r="O1681" s="35">
        <f t="shared" si="141"/>
        <v>0.30821917808219179</v>
      </c>
      <c r="P1681" s="35">
        <f t="shared" si="142"/>
        <v>0.61643835616438358</v>
      </c>
    </row>
    <row r="1682" spans="12:16" ht="15" hidden="1" customHeight="1">
      <c r="L1682" s="43">
        <f t="shared" si="138"/>
        <v>46183</v>
      </c>
      <c r="M1682" s="35">
        <f t="shared" si="139"/>
        <v>0</v>
      </c>
      <c r="N1682" s="35">
        <f t="shared" si="140"/>
        <v>7500</v>
      </c>
      <c r="O1682" s="35">
        <f t="shared" si="141"/>
        <v>0.30821917808219179</v>
      </c>
      <c r="P1682" s="35">
        <f t="shared" si="142"/>
        <v>0.61643835616438358</v>
      </c>
    </row>
    <row r="1683" spans="12:16" ht="15" hidden="1" customHeight="1">
      <c r="L1683" s="43">
        <f t="shared" si="138"/>
        <v>46184</v>
      </c>
      <c r="M1683" s="35">
        <f t="shared" si="139"/>
        <v>0</v>
      </c>
      <c r="N1683" s="35">
        <f t="shared" si="140"/>
        <v>7500</v>
      </c>
      <c r="O1683" s="35">
        <f t="shared" si="141"/>
        <v>0.30821917808219179</v>
      </c>
      <c r="P1683" s="35">
        <f t="shared" si="142"/>
        <v>0.61643835616438358</v>
      </c>
    </row>
    <row r="1684" spans="12:16" ht="15" hidden="1" customHeight="1">
      <c r="L1684" s="43">
        <f t="shared" si="138"/>
        <v>46185</v>
      </c>
      <c r="M1684" s="35">
        <f t="shared" si="139"/>
        <v>0</v>
      </c>
      <c r="N1684" s="35">
        <f t="shared" si="140"/>
        <v>7500</v>
      </c>
      <c r="O1684" s="35">
        <f t="shared" si="141"/>
        <v>0.30821917808219179</v>
      </c>
      <c r="P1684" s="35">
        <f t="shared" si="142"/>
        <v>0.61643835616438358</v>
      </c>
    </row>
    <row r="1685" spans="12:16" ht="15" hidden="1" customHeight="1">
      <c r="L1685" s="43">
        <f t="shared" si="138"/>
        <v>46186</v>
      </c>
      <c r="M1685" s="35">
        <f t="shared" si="139"/>
        <v>0</v>
      </c>
      <c r="N1685" s="35">
        <f t="shared" si="140"/>
        <v>7500</v>
      </c>
      <c r="O1685" s="35">
        <f t="shared" si="141"/>
        <v>0.30821917808219179</v>
      </c>
      <c r="P1685" s="35">
        <f t="shared" si="142"/>
        <v>0.61643835616438358</v>
      </c>
    </row>
    <row r="1686" spans="12:16" ht="15" hidden="1" customHeight="1">
      <c r="L1686" s="43">
        <f t="shared" si="138"/>
        <v>46187</v>
      </c>
      <c r="M1686" s="35">
        <f t="shared" si="139"/>
        <v>0</v>
      </c>
      <c r="N1686" s="35">
        <f t="shared" si="140"/>
        <v>7500</v>
      </c>
      <c r="O1686" s="35">
        <f t="shared" si="141"/>
        <v>0.30821917808219179</v>
      </c>
      <c r="P1686" s="35">
        <f t="shared" si="142"/>
        <v>0.61643835616438358</v>
      </c>
    </row>
    <row r="1687" spans="12:16" ht="15" hidden="1" customHeight="1">
      <c r="L1687" s="43">
        <f t="shared" si="138"/>
        <v>46188</v>
      </c>
      <c r="M1687" s="35">
        <f t="shared" si="139"/>
        <v>0</v>
      </c>
      <c r="N1687" s="35">
        <f t="shared" si="140"/>
        <v>7500</v>
      </c>
      <c r="O1687" s="35">
        <f t="shared" si="141"/>
        <v>0.30821917808219179</v>
      </c>
      <c r="P1687" s="35">
        <f t="shared" si="142"/>
        <v>0.61643835616438358</v>
      </c>
    </row>
    <row r="1688" spans="12:16" ht="15" hidden="1" customHeight="1">
      <c r="L1688" s="43">
        <f t="shared" si="138"/>
        <v>46189</v>
      </c>
      <c r="M1688" s="35">
        <f t="shared" si="139"/>
        <v>0</v>
      </c>
      <c r="N1688" s="35">
        <f t="shared" si="140"/>
        <v>7500</v>
      </c>
      <c r="O1688" s="35">
        <f t="shared" si="141"/>
        <v>0.30821917808219179</v>
      </c>
      <c r="P1688" s="35">
        <f t="shared" si="142"/>
        <v>0.61643835616438358</v>
      </c>
    </row>
    <row r="1689" spans="12:16" ht="15" hidden="1" customHeight="1">
      <c r="L1689" s="43">
        <f t="shared" si="138"/>
        <v>46190</v>
      </c>
      <c r="M1689" s="35">
        <f t="shared" si="139"/>
        <v>0</v>
      </c>
      <c r="N1689" s="35">
        <f t="shared" si="140"/>
        <v>7500</v>
      </c>
      <c r="O1689" s="35">
        <f t="shared" si="141"/>
        <v>0.30821917808219179</v>
      </c>
      <c r="P1689" s="35">
        <f t="shared" si="142"/>
        <v>0.61643835616438358</v>
      </c>
    </row>
    <row r="1690" spans="12:16" ht="15" hidden="1" customHeight="1">
      <c r="L1690" s="43">
        <f t="shared" si="138"/>
        <v>46191</v>
      </c>
      <c r="M1690" s="35">
        <f t="shared" si="139"/>
        <v>0</v>
      </c>
      <c r="N1690" s="35">
        <f t="shared" si="140"/>
        <v>7500</v>
      </c>
      <c r="O1690" s="35">
        <f t="shared" si="141"/>
        <v>0.30821917808219179</v>
      </c>
      <c r="P1690" s="35">
        <f t="shared" si="142"/>
        <v>0.61643835616438358</v>
      </c>
    </row>
    <row r="1691" spans="12:16" ht="15" hidden="1" customHeight="1">
      <c r="L1691" s="43">
        <f t="shared" si="138"/>
        <v>46192</v>
      </c>
      <c r="M1691" s="35">
        <f t="shared" si="139"/>
        <v>0</v>
      </c>
      <c r="N1691" s="35">
        <f t="shared" si="140"/>
        <v>7500</v>
      </c>
      <c r="O1691" s="35">
        <f t="shared" si="141"/>
        <v>0.30821917808219179</v>
      </c>
      <c r="P1691" s="35">
        <f t="shared" si="142"/>
        <v>0.61643835616438358</v>
      </c>
    </row>
    <row r="1692" spans="12:16" ht="15" hidden="1" customHeight="1">
      <c r="L1692" s="43">
        <f t="shared" si="138"/>
        <v>46193</v>
      </c>
      <c r="M1692" s="35">
        <f t="shared" si="139"/>
        <v>0</v>
      </c>
      <c r="N1692" s="35">
        <f t="shared" si="140"/>
        <v>7500</v>
      </c>
      <c r="O1692" s="35">
        <f t="shared" si="141"/>
        <v>0.30821917808219179</v>
      </c>
      <c r="P1692" s="35">
        <f t="shared" si="142"/>
        <v>0.61643835616438358</v>
      </c>
    </row>
    <row r="1693" spans="12:16" ht="15" hidden="1" customHeight="1">
      <c r="L1693" s="43">
        <f t="shared" si="138"/>
        <v>46194</v>
      </c>
      <c r="M1693" s="35">
        <f t="shared" si="139"/>
        <v>0</v>
      </c>
      <c r="N1693" s="35">
        <f t="shared" si="140"/>
        <v>7500</v>
      </c>
      <c r="O1693" s="35">
        <f t="shared" si="141"/>
        <v>0.30821917808219179</v>
      </c>
      <c r="P1693" s="35">
        <f t="shared" si="142"/>
        <v>0.61643835616438358</v>
      </c>
    </row>
    <row r="1694" spans="12:16" ht="15" hidden="1" customHeight="1">
      <c r="L1694" s="43">
        <f t="shared" si="138"/>
        <v>46195</v>
      </c>
      <c r="M1694" s="35">
        <f t="shared" si="139"/>
        <v>0</v>
      </c>
      <c r="N1694" s="35">
        <f t="shared" si="140"/>
        <v>7500</v>
      </c>
      <c r="O1694" s="35">
        <f t="shared" si="141"/>
        <v>0.30821917808219179</v>
      </c>
      <c r="P1694" s="35">
        <f t="shared" si="142"/>
        <v>0.61643835616438358</v>
      </c>
    </row>
    <row r="1695" spans="12:16" ht="15" hidden="1" customHeight="1">
      <c r="L1695" s="43">
        <f t="shared" ref="L1695:L1758" si="143">IFERROR(IF(MAX(L1694+1,Дата_получения_Займа+1)&gt;Дата_погашения_Займа,"-",MAX(L1694+1,Дата_получения_Займа+1)),"-")</f>
        <v>46196</v>
      </c>
      <c r="M1695" s="35">
        <f t="shared" ref="M1695:M1758" si="144">IFERROR(VLOOKUP(L1695,$B$31:$E$59,4,FALSE),0)</f>
        <v>0</v>
      </c>
      <c r="N1695" s="35">
        <f t="shared" ref="N1695:N1758" si="145">IF(ISNUMBER(N1694),N1694-M1695,$E$20)</f>
        <v>7500</v>
      </c>
      <c r="O1695" s="35">
        <f t="shared" ref="O1695:O1758" si="146">IFERROR(IF(ISNUMBER(N1694),N1694,$E$20)*IF(L1695&gt;=$J$20,$E$25,$E$24)/IF(MOD(YEAR(L1695),4),365,366)*IF(ISBLANK(L1694),L1695-$E$22,L1695-L1694),0)</f>
        <v>0.30821917808219179</v>
      </c>
      <c r="P1695" s="35">
        <f t="shared" ref="P1695:P1758" si="147">IFERROR(IF(ISNUMBER(N1694),N1694,$E$20)*3%/IF(MOD(YEAR(L1695),4),365,366)*IF(ISBLANK(L1694),(L1695-$E$22),L1695-L1694),0)</f>
        <v>0.61643835616438358</v>
      </c>
    </row>
    <row r="1696" spans="12:16" ht="15" hidden="1" customHeight="1">
      <c r="L1696" s="43">
        <f t="shared" si="143"/>
        <v>46197</v>
      </c>
      <c r="M1696" s="35">
        <f t="shared" si="144"/>
        <v>0</v>
      </c>
      <c r="N1696" s="35">
        <f t="shared" si="145"/>
        <v>7500</v>
      </c>
      <c r="O1696" s="35">
        <f t="shared" si="146"/>
        <v>0.30821917808219179</v>
      </c>
      <c r="P1696" s="35">
        <f t="shared" si="147"/>
        <v>0.61643835616438358</v>
      </c>
    </row>
    <row r="1697" spans="12:16" ht="15" hidden="1" customHeight="1">
      <c r="L1697" s="43">
        <f t="shared" si="143"/>
        <v>46198</v>
      </c>
      <c r="M1697" s="35">
        <f t="shared" si="144"/>
        <v>0</v>
      </c>
      <c r="N1697" s="35">
        <f t="shared" si="145"/>
        <v>7500</v>
      </c>
      <c r="O1697" s="35">
        <f t="shared" si="146"/>
        <v>0.30821917808219179</v>
      </c>
      <c r="P1697" s="35">
        <f t="shared" si="147"/>
        <v>0.61643835616438358</v>
      </c>
    </row>
    <row r="1698" spans="12:16" ht="15" hidden="1" customHeight="1">
      <c r="L1698" s="43">
        <f t="shared" si="143"/>
        <v>46199</v>
      </c>
      <c r="M1698" s="35">
        <f t="shared" si="144"/>
        <v>0</v>
      </c>
      <c r="N1698" s="35">
        <f t="shared" si="145"/>
        <v>7500</v>
      </c>
      <c r="O1698" s="35">
        <f t="shared" si="146"/>
        <v>0.30821917808219179</v>
      </c>
      <c r="P1698" s="35">
        <f t="shared" si="147"/>
        <v>0.61643835616438358</v>
      </c>
    </row>
    <row r="1699" spans="12:16" ht="15" hidden="1" customHeight="1">
      <c r="L1699" s="43">
        <f t="shared" si="143"/>
        <v>46200</v>
      </c>
      <c r="M1699" s="35">
        <f t="shared" si="144"/>
        <v>0</v>
      </c>
      <c r="N1699" s="35">
        <f t="shared" si="145"/>
        <v>7500</v>
      </c>
      <c r="O1699" s="35">
        <f t="shared" si="146"/>
        <v>0.30821917808219179</v>
      </c>
      <c r="P1699" s="35">
        <f t="shared" si="147"/>
        <v>0.61643835616438358</v>
      </c>
    </row>
    <row r="1700" spans="12:16" ht="15" hidden="1" customHeight="1">
      <c r="L1700" s="43">
        <f t="shared" si="143"/>
        <v>46201</v>
      </c>
      <c r="M1700" s="35">
        <f t="shared" si="144"/>
        <v>0</v>
      </c>
      <c r="N1700" s="35">
        <f t="shared" si="145"/>
        <v>7500</v>
      </c>
      <c r="O1700" s="35">
        <f t="shared" si="146"/>
        <v>0.30821917808219179</v>
      </c>
      <c r="P1700" s="35">
        <f t="shared" si="147"/>
        <v>0.61643835616438358</v>
      </c>
    </row>
    <row r="1701" spans="12:16" ht="15" hidden="1" customHeight="1">
      <c r="L1701" s="43">
        <f t="shared" si="143"/>
        <v>46202</v>
      </c>
      <c r="M1701" s="35">
        <f t="shared" si="144"/>
        <v>0</v>
      </c>
      <c r="N1701" s="35">
        <f t="shared" si="145"/>
        <v>7500</v>
      </c>
      <c r="O1701" s="35">
        <f t="shared" si="146"/>
        <v>0.30821917808219179</v>
      </c>
      <c r="P1701" s="35">
        <f t="shared" si="147"/>
        <v>0.61643835616438358</v>
      </c>
    </row>
    <row r="1702" spans="12:16" ht="15" hidden="1" customHeight="1">
      <c r="L1702" s="43">
        <f t="shared" si="143"/>
        <v>46203</v>
      </c>
      <c r="M1702" s="35">
        <f t="shared" si="144"/>
        <v>2500</v>
      </c>
      <c r="N1702" s="35">
        <f t="shared" si="145"/>
        <v>5000</v>
      </c>
      <c r="O1702" s="35">
        <f t="shared" si="146"/>
        <v>0.30821917808219179</v>
      </c>
      <c r="P1702" s="35">
        <f t="shared" si="147"/>
        <v>0.61643835616438358</v>
      </c>
    </row>
    <row r="1703" spans="12:16" ht="15" hidden="1" customHeight="1">
      <c r="L1703" s="43">
        <f t="shared" si="143"/>
        <v>46204</v>
      </c>
      <c r="M1703" s="35">
        <f t="shared" si="144"/>
        <v>0</v>
      </c>
      <c r="N1703" s="35">
        <f t="shared" si="145"/>
        <v>5000</v>
      </c>
      <c r="O1703" s="35">
        <f t="shared" si="146"/>
        <v>0.20547945205479451</v>
      </c>
      <c r="P1703" s="35">
        <f t="shared" si="147"/>
        <v>0.41095890410958902</v>
      </c>
    </row>
    <row r="1704" spans="12:16" ht="15" hidden="1" customHeight="1">
      <c r="L1704" s="43">
        <f t="shared" si="143"/>
        <v>46205</v>
      </c>
      <c r="M1704" s="35">
        <f t="shared" si="144"/>
        <v>0</v>
      </c>
      <c r="N1704" s="35">
        <f t="shared" si="145"/>
        <v>5000</v>
      </c>
      <c r="O1704" s="35">
        <f t="shared" si="146"/>
        <v>0.20547945205479451</v>
      </c>
      <c r="P1704" s="35">
        <f t="shared" si="147"/>
        <v>0.41095890410958902</v>
      </c>
    </row>
    <row r="1705" spans="12:16" ht="15" hidden="1" customHeight="1">
      <c r="L1705" s="43">
        <f t="shared" si="143"/>
        <v>46206</v>
      </c>
      <c r="M1705" s="35">
        <f t="shared" si="144"/>
        <v>0</v>
      </c>
      <c r="N1705" s="35">
        <f t="shared" si="145"/>
        <v>5000</v>
      </c>
      <c r="O1705" s="35">
        <f t="shared" si="146"/>
        <v>0.20547945205479451</v>
      </c>
      <c r="P1705" s="35">
        <f t="shared" si="147"/>
        <v>0.41095890410958902</v>
      </c>
    </row>
    <row r="1706" spans="12:16" ht="15" hidden="1" customHeight="1">
      <c r="L1706" s="43">
        <f t="shared" si="143"/>
        <v>46207</v>
      </c>
      <c r="M1706" s="35">
        <f t="shared" si="144"/>
        <v>0</v>
      </c>
      <c r="N1706" s="35">
        <f t="shared" si="145"/>
        <v>5000</v>
      </c>
      <c r="O1706" s="35">
        <f t="shared" si="146"/>
        <v>0.20547945205479451</v>
      </c>
      <c r="P1706" s="35">
        <f t="shared" si="147"/>
        <v>0.41095890410958902</v>
      </c>
    </row>
    <row r="1707" spans="12:16" ht="15" hidden="1" customHeight="1">
      <c r="L1707" s="43">
        <f t="shared" si="143"/>
        <v>46208</v>
      </c>
      <c r="M1707" s="35">
        <f t="shared" si="144"/>
        <v>0</v>
      </c>
      <c r="N1707" s="35">
        <f t="shared" si="145"/>
        <v>5000</v>
      </c>
      <c r="O1707" s="35">
        <f t="shared" si="146"/>
        <v>0.20547945205479451</v>
      </c>
      <c r="P1707" s="35">
        <f t="shared" si="147"/>
        <v>0.41095890410958902</v>
      </c>
    </row>
    <row r="1708" spans="12:16" ht="15" hidden="1" customHeight="1">
      <c r="L1708" s="43">
        <f t="shared" si="143"/>
        <v>46209</v>
      </c>
      <c r="M1708" s="35">
        <f t="shared" si="144"/>
        <v>0</v>
      </c>
      <c r="N1708" s="35">
        <f t="shared" si="145"/>
        <v>5000</v>
      </c>
      <c r="O1708" s="35">
        <f t="shared" si="146"/>
        <v>0.20547945205479451</v>
      </c>
      <c r="P1708" s="35">
        <f t="shared" si="147"/>
        <v>0.41095890410958902</v>
      </c>
    </row>
    <row r="1709" spans="12:16" ht="15" hidden="1" customHeight="1">
      <c r="L1709" s="43">
        <f t="shared" si="143"/>
        <v>46210</v>
      </c>
      <c r="M1709" s="35">
        <f t="shared" si="144"/>
        <v>0</v>
      </c>
      <c r="N1709" s="35">
        <f t="shared" si="145"/>
        <v>5000</v>
      </c>
      <c r="O1709" s="35">
        <f t="shared" si="146"/>
        <v>0.20547945205479451</v>
      </c>
      <c r="P1709" s="35">
        <f t="shared" si="147"/>
        <v>0.41095890410958902</v>
      </c>
    </row>
    <row r="1710" spans="12:16" ht="15" hidden="1" customHeight="1">
      <c r="L1710" s="43">
        <f t="shared" si="143"/>
        <v>46211</v>
      </c>
      <c r="M1710" s="35">
        <f t="shared" si="144"/>
        <v>0</v>
      </c>
      <c r="N1710" s="35">
        <f t="shared" si="145"/>
        <v>5000</v>
      </c>
      <c r="O1710" s="35">
        <f t="shared" si="146"/>
        <v>0.20547945205479451</v>
      </c>
      <c r="P1710" s="35">
        <f t="shared" si="147"/>
        <v>0.41095890410958902</v>
      </c>
    </row>
    <row r="1711" spans="12:16" ht="15" hidden="1" customHeight="1">
      <c r="L1711" s="43">
        <f t="shared" si="143"/>
        <v>46212</v>
      </c>
      <c r="M1711" s="35">
        <f t="shared" si="144"/>
        <v>0</v>
      </c>
      <c r="N1711" s="35">
        <f t="shared" si="145"/>
        <v>5000</v>
      </c>
      <c r="O1711" s="35">
        <f t="shared" si="146"/>
        <v>0.20547945205479451</v>
      </c>
      <c r="P1711" s="35">
        <f t="shared" si="147"/>
        <v>0.41095890410958902</v>
      </c>
    </row>
    <row r="1712" spans="12:16" ht="15" hidden="1" customHeight="1">
      <c r="L1712" s="43">
        <f t="shared" si="143"/>
        <v>46213</v>
      </c>
      <c r="M1712" s="35">
        <f t="shared" si="144"/>
        <v>0</v>
      </c>
      <c r="N1712" s="35">
        <f t="shared" si="145"/>
        <v>5000</v>
      </c>
      <c r="O1712" s="35">
        <f t="shared" si="146"/>
        <v>0.20547945205479451</v>
      </c>
      <c r="P1712" s="35">
        <f t="shared" si="147"/>
        <v>0.41095890410958902</v>
      </c>
    </row>
    <row r="1713" spans="12:16" ht="15" hidden="1" customHeight="1">
      <c r="L1713" s="43">
        <f t="shared" si="143"/>
        <v>46214</v>
      </c>
      <c r="M1713" s="35">
        <f t="shared" si="144"/>
        <v>0</v>
      </c>
      <c r="N1713" s="35">
        <f t="shared" si="145"/>
        <v>5000</v>
      </c>
      <c r="O1713" s="35">
        <f t="shared" si="146"/>
        <v>0.20547945205479451</v>
      </c>
      <c r="P1713" s="35">
        <f t="shared" si="147"/>
        <v>0.41095890410958902</v>
      </c>
    </row>
    <row r="1714" spans="12:16" ht="15" hidden="1" customHeight="1">
      <c r="L1714" s="43">
        <f t="shared" si="143"/>
        <v>46215</v>
      </c>
      <c r="M1714" s="35">
        <f t="shared" si="144"/>
        <v>0</v>
      </c>
      <c r="N1714" s="35">
        <f t="shared" si="145"/>
        <v>5000</v>
      </c>
      <c r="O1714" s="35">
        <f t="shared" si="146"/>
        <v>0.20547945205479451</v>
      </c>
      <c r="P1714" s="35">
        <f t="shared" si="147"/>
        <v>0.41095890410958902</v>
      </c>
    </row>
    <row r="1715" spans="12:16" ht="15" hidden="1" customHeight="1">
      <c r="L1715" s="43">
        <f t="shared" si="143"/>
        <v>46216</v>
      </c>
      <c r="M1715" s="35">
        <f t="shared" si="144"/>
        <v>0</v>
      </c>
      <c r="N1715" s="35">
        <f t="shared" si="145"/>
        <v>5000</v>
      </c>
      <c r="O1715" s="35">
        <f t="shared" si="146"/>
        <v>0.20547945205479451</v>
      </c>
      <c r="P1715" s="35">
        <f t="shared" si="147"/>
        <v>0.41095890410958902</v>
      </c>
    </row>
    <row r="1716" spans="12:16" ht="15" hidden="1" customHeight="1">
      <c r="L1716" s="43">
        <f t="shared" si="143"/>
        <v>46217</v>
      </c>
      <c r="M1716" s="35">
        <f t="shared" si="144"/>
        <v>0</v>
      </c>
      <c r="N1716" s="35">
        <f t="shared" si="145"/>
        <v>5000</v>
      </c>
      <c r="O1716" s="35">
        <f t="shared" si="146"/>
        <v>0.20547945205479451</v>
      </c>
      <c r="P1716" s="35">
        <f t="shared" si="147"/>
        <v>0.41095890410958902</v>
      </c>
    </row>
    <row r="1717" spans="12:16" ht="15" hidden="1" customHeight="1">
      <c r="L1717" s="43">
        <f t="shared" si="143"/>
        <v>46218</v>
      </c>
      <c r="M1717" s="35">
        <f t="shared" si="144"/>
        <v>0</v>
      </c>
      <c r="N1717" s="35">
        <f t="shared" si="145"/>
        <v>5000</v>
      </c>
      <c r="O1717" s="35">
        <f t="shared" si="146"/>
        <v>0.20547945205479451</v>
      </c>
      <c r="P1717" s="35">
        <f t="shared" si="147"/>
        <v>0.41095890410958902</v>
      </c>
    </row>
    <row r="1718" spans="12:16" ht="15" hidden="1" customHeight="1">
      <c r="L1718" s="43">
        <f t="shared" si="143"/>
        <v>46219</v>
      </c>
      <c r="M1718" s="35">
        <f t="shared" si="144"/>
        <v>0</v>
      </c>
      <c r="N1718" s="35">
        <f t="shared" si="145"/>
        <v>5000</v>
      </c>
      <c r="O1718" s="35">
        <f t="shared" si="146"/>
        <v>0.20547945205479451</v>
      </c>
      <c r="P1718" s="35">
        <f t="shared" si="147"/>
        <v>0.41095890410958902</v>
      </c>
    </row>
    <row r="1719" spans="12:16" ht="15" hidden="1" customHeight="1">
      <c r="L1719" s="43">
        <f t="shared" si="143"/>
        <v>46220</v>
      </c>
      <c r="M1719" s="35">
        <f t="shared" si="144"/>
        <v>0</v>
      </c>
      <c r="N1719" s="35">
        <f t="shared" si="145"/>
        <v>5000</v>
      </c>
      <c r="O1719" s="35">
        <f t="shared" si="146"/>
        <v>0.20547945205479451</v>
      </c>
      <c r="P1719" s="35">
        <f t="shared" si="147"/>
        <v>0.41095890410958902</v>
      </c>
    </row>
    <row r="1720" spans="12:16" ht="15" hidden="1" customHeight="1">
      <c r="L1720" s="43">
        <f t="shared" si="143"/>
        <v>46221</v>
      </c>
      <c r="M1720" s="35">
        <f t="shared" si="144"/>
        <v>0</v>
      </c>
      <c r="N1720" s="35">
        <f t="shared" si="145"/>
        <v>5000</v>
      </c>
      <c r="O1720" s="35">
        <f t="shared" si="146"/>
        <v>0.20547945205479451</v>
      </c>
      <c r="P1720" s="35">
        <f t="shared" si="147"/>
        <v>0.41095890410958902</v>
      </c>
    </row>
    <row r="1721" spans="12:16" ht="15" hidden="1" customHeight="1">
      <c r="L1721" s="43">
        <f t="shared" si="143"/>
        <v>46222</v>
      </c>
      <c r="M1721" s="35">
        <f t="shared" si="144"/>
        <v>0</v>
      </c>
      <c r="N1721" s="35">
        <f t="shared" si="145"/>
        <v>5000</v>
      </c>
      <c r="O1721" s="35">
        <f t="shared" si="146"/>
        <v>0.20547945205479451</v>
      </c>
      <c r="P1721" s="35">
        <f t="shared" si="147"/>
        <v>0.41095890410958902</v>
      </c>
    </row>
    <row r="1722" spans="12:16" ht="15" hidden="1" customHeight="1">
      <c r="L1722" s="43">
        <f t="shared" si="143"/>
        <v>46223</v>
      </c>
      <c r="M1722" s="35">
        <f t="shared" si="144"/>
        <v>0</v>
      </c>
      <c r="N1722" s="35">
        <f t="shared" si="145"/>
        <v>5000</v>
      </c>
      <c r="O1722" s="35">
        <f t="shared" si="146"/>
        <v>0.20547945205479451</v>
      </c>
      <c r="P1722" s="35">
        <f t="shared" si="147"/>
        <v>0.41095890410958902</v>
      </c>
    </row>
    <row r="1723" spans="12:16" ht="15" hidden="1" customHeight="1">
      <c r="L1723" s="43">
        <f t="shared" si="143"/>
        <v>46224</v>
      </c>
      <c r="M1723" s="35">
        <f t="shared" si="144"/>
        <v>0</v>
      </c>
      <c r="N1723" s="35">
        <f t="shared" si="145"/>
        <v>5000</v>
      </c>
      <c r="O1723" s="35">
        <f t="shared" si="146"/>
        <v>0.20547945205479451</v>
      </c>
      <c r="P1723" s="35">
        <f t="shared" si="147"/>
        <v>0.41095890410958902</v>
      </c>
    </row>
    <row r="1724" spans="12:16" ht="15" hidden="1" customHeight="1">
      <c r="L1724" s="43">
        <f t="shared" si="143"/>
        <v>46225</v>
      </c>
      <c r="M1724" s="35">
        <f t="shared" si="144"/>
        <v>0</v>
      </c>
      <c r="N1724" s="35">
        <f t="shared" si="145"/>
        <v>5000</v>
      </c>
      <c r="O1724" s="35">
        <f t="shared" si="146"/>
        <v>0.20547945205479451</v>
      </c>
      <c r="P1724" s="35">
        <f t="shared" si="147"/>
        <v>0.41095890410958902</v>
      </c>
    </row>
    <row r="1725" spans="12:16" ht="15" hidden="1" customHeight="1">
      <c r="L1725" s="43">
        <f t="shared" si="143"/>
        <v>46226</v>
      </c>
      <c r="M1725" s="35">
        <f t="shared" si="144"/>
        <v>0</v>
      </c>
      <c r="N1725" s="35">
        <f t="shared" si="145"/>
        <v>5000</v>
      </c>
      <c r="O1725" s="35">
        <f t="shared" si="146"/>
        <v>0.20547945205479451</v>
      </c>
      <c r="P1725" s="35">
        <f t="shared" si="147"/>
        <v>0.41095890410958902</v>
      </c>
    </row>
    <row r="1726" spans="12:16" ht="15" hidden="1" customHeight="1">
      <c r="L1726" s="43">
        <f t="shared" si="143"/>
        <v>46227</v>
      </c>
      <c r="M1726" s="35">
        <f t="shared" si="144"/>
        <v>0</v>
      </c>
      <c r="N1726" s="35">
        <f t="shared" si="145"/>
        <v>5000</v>
      </c>
      <c r="O1726" s="35">
        <f t="shared" si="146"/>
        <v>0.20547945205479451</v>
      </c>
      <c r="P1726" s="35">
        <f t="shared" si="147"/>
        <v>0.41095890410958902</v>
      </c>
    </row>
    <row r="1727" spans="12:16" ht="15" hidden="1" customHeight="1">
      <c r="L1727" s="43">
        <f t="shared" si="143"/>
        <v>46228</v>
      </c>
      <c r="M1727" s="35">
        <f t="shared" si="144"/>
        <v>0</v>
      </c>
      <c r="N1727" s="35">
        <f t="shared" si="145"/>
        <v>5000</v>
      </c>
      <c r="O1727" s="35">
        <f t="shared" si="146"/>
        <v>0.20547945205479451</v>
      </c>
      <c r="P1727" s="35">
        <f t="shared" si="147"/>
        <v>0.41095890410958902</v>
      </c>
    </row>
    <row r="1728" spans="12:16" ht="15" hidden="1" customHeight="1">
      <c r="L1728" s="43">
        <f t="shared" si="143"/>
        <v>46229</v>
      </c>
      <c r="M1728" s="35">
        <f t="shared" si="144"/>
        <v>0</v>
      </c>
      <c r="N1728" s="35">
        <f t="shared" si="145"/>
        <v>5000</v>
      </c>
      <c r="O1728" s="35">
        <f t="shared" si="146"/>
        <v>0.20547945205479451</v>
      </c>
      <c r="P1728" s="35">
        <f t="shared" si="147"/>
        <v>0.41095890410958902</v>
      </c>
    </row>
    <row r="1729" spans="12:16" ht="15" hidden="1" customHeight="1">
      <c r="L1729" s="43">
        <f t="shared" si="143"/>
        <v>46230</v>
      </c>
      <c r="M1729" s="35">
        <f t="shared" si="144"/>
        <v>0</v>
      </c>
      <c r="N1729" s="35">
        <f t="shared" si="145"/>
        <v>5000</v>
      </c>
      <c r="O1729" s="35">
        <f t="shared" si="146"/>
        <v>0.20547945205479451</v>
      </c>
      <c r="P1729" s="35">
        <f t="shared" si="147"/>
        <v>0.41095890410958902</v>
      </c>
    </row>
    <row r="1730" spans="12:16" ht="15" hidden="1" customHeight="1">
      <c r="L1730" s="43">
        <f t="shared" si="143"/>
        <v>46231</v>
      </c>
      <c r="M1730" s="35">
        <f t="shared" si="144"/>
        <v>0</v>
      </c>
      <c r="N1730" s="35">
        <f t="shared" si="145"/>
        <v>5000</v>
      </c>
      <c r="O1730" s="35">
        <f t="shared" si="146"/>
        <v>0.20547945205479451</v>
      </c>
      <c r="P1730" s="35">
        <f t="shared" si="147"/>
        <v>0.41095890410958902</v>
      </c>
    </row>
    <row r="1731" spans="12:16" ht="15" hidden="1" customHeight="1">
      <c r="L1731" s="43">
        <f t="shared" si="143"/>
        <v>46232</v>
      </c>
      <c r="M1731" s="35">
        <f t="shared" si="144"/>
        <v>0</v>
      </c>
      <c r="N1731" s="35">
        <f t="shared" si="145"/>
        <v>5000</v>
      </c>
      <c r="O1731" s="35">
        <f t="shared" si="146"/>
        <v>0.20547945205479451</v>
      </c>
      <c r="P1731" s="35">
        <f t="shared" si="147"/>
        <v>0.41095890410958902</v>
      </c>
    </row>
    <row r="1732" spans="12:16" ht="15" hidden="1" customHeight="1">
      <c r="L1732" s="43">
        <f t="shared" si="143"/>
        <v>46233</v>
      </c>
      <c r="M1732" s="35">
        <f t="shared" si="144"/>
        <v>0</v>
      </c>
      <c r="N1732" s="35">
        <f t="shared" si="145"/>
        <v>5000</v>
      </c>
      <c r="O1732" s="35">
        <f t="shared" si="146"/>
        <v>0.20547945205479451</v>
      </c>
      <c r="P1732" s="35">
        <f t="shared" si="147"/>
        <v>0.41095890410958902</v>
      </c>
    </row>
    <row r="1733" spans="12:16" ht="15" hidden="1" customHeight="1">
      <c r="L1733" s="43">
        <f t="shared" si="143"/>
        <v>46234</v>
      </c>
      <c r="M1733" s="35">
        <f t="shared" si="144"/>
        <v>0</v>
      </c>
      <c r="N1733" s="35">
        <f t="shared" si="145"/>
        <v>5000</v>
      </c>
      <c r="O1733" s="35">
        <f t="shared" si="146"/>
        <v>0.20547945205479451</v>
      </c>
      <c r="P1733" s="35">
        <f t="shared" si="147"/>
        <v>0.41095890410958902</v>
      </c>
    </row>
    <row r="1734" spans="12:16" ht="15" hidden="1" customHeight="1">
      <c r="L1734" s="43">
        <f t="shared" si="143"/>
        <v>46235</v>
      </c>
      <c r="M1734" s="35">
        <f t="shared" si="144"/>
        <v>0</v>
      </c>
      <c r="N1734" s="35">
        <f t="shared" si="145"/>
        <v>5000</v>
      </c>
      <c r="O1734" s="35">
        <f t="shared" si="146"/>
        <v>0.20547945205479451</v>
      </c>
      <c r="P1734" s="35">
        <f t="shared" si="147"/>
        <v>0.41095890410958902</v>
      </c>
    </row>
    <row r="1735" spans="12:16" ht="15" hidden="1" customHeight="1">
      <c r="L1735" s="43">
        <f t="shared" si="143"/>
        <v>46236</v>
      </c>
      <c r="M1735" s="35">
        <f t="shared" si="144"/>
        <v>0</v>
      </c>
      <c r="N1735" s="35">
        <f t="shared" si="145"/>
        <v>5000</v>
      </c>
      <c r="O1735" s="35">
        <f t="shared" si="146"/>
        <v>0.20547945205479451</v>
      </c>
      <c r="P1735" s="35">
        <f t="shared" si="147"/>
        <v>0.41095890410958902</v>
      </c>
    </row>
    <row r="1736" spans="12:16" ht="15" hidden="1" customHeight="1">
      <c r="L1736" s="43">
        <f t="shared" si="143"/>
        <v>46237</v>
      </c>
      <c r="M1736" s="35">
        <f t="shared" si="144"/>
        <v>0</v>
      </c>
      <c r="N1736" s="35">
        <f t="shared" si="145"/>
        <v>5000</v>
      </c>
      <c r="O1736" s="35">
        <f t="shared" si="146"/>
        <v>0.20547945205479451</v>
      </c>
      <c r="P1736" s="35">
        <f t="shared" si="147"/>
        <v>0.41095890410958902</v>
      </c>
    </row>
    <row r="1737" spans="12:16" ht="15" hidden="1" customHeight="1">
      <c r="L1737" s="43">
        <f t="shared" si="143"/>
        <v>46238</v>
      </c>
      <c r="M1737" s="35">
        <f t="shared" si="144"/>
        <v>0</v>
      </c>
      <c r="N1737" s="35">
        <f t="shared" si="145"/>
        <v>5000</v>
      </c>
      <c r="O1737" s="35">
        <f t="shared" si="146"/>
        <v>0.20547945205479451</v>
      </c>
      <c r="P1737" s="35">
        <f t="shared" si="147"/>
        <v>0.41095890410958902</v>
      </c>
    </row>
    <row r="1738" spans="12:16" ht="15" hidden="1" customHeight="1">
      <c r="L1738" s="43">
        <f t="shared" si="143"/>
        <v>46239</v>
      </c>
      <c r="M1738" s="35">
        <f t="shared" si="144"/>
        <v>0</v>
      </c>
      <c r="N1738" s="35">
        <f t="shared" si="145"/>
        <v>5000</v>
      </c>
      <c r="O1738" s="35">
        <f t="shared" si="146"/>
        <v>0.20547945205479451</v>
      </c>
      <c r="P1738" s="35">
        <f t="shared" si="147"/>
        <v>0.41095890410958902</v>
      </c>
    </row>
    <row r="1739" spans="12:16" ht="15" hidden="1" customHeight="1">
      <c r="L1739" s="43">
        <f t="shared" si="143"/>
        <v>46240</v>
      </c>
      <c r="M1739" s="35">
        <f t="shared" si="144"/>
        <v>0</v>
      </c>
      <c r="N1739" s="35">
        <f t="shared" si="145"/>
        <v>5000</v>
      </c>
      <c r="O1739" s="35">
        <f t="shared" si="146"/>
        <v>0.20547945205479451</v>
      </c>
      <c r="P1739" s="35">
        <f t="shared" si="147"/>
        <v>0.41095890410958902</v>
      </c>
    </row>
    <row r="1740" spans="12:16" ht="15" hidden="1" customHeight="1">
      <c r="L1740" s="43">
        <f t="shared" si="143"/>
        <v>46241</v>
      </c>
      <c r="M1740" s="35">
        <f t="shared" si="144"/>
        <v>0</v>
      </c>
      <c r="N1740" s="35">
        <f t="shared" si="145"/>
        <v>5000</v>
      </c>
      <c r="O1740" s="35">
        <f t="shared" si="146"/>
        <v>0.20547945205479451</v>
      </c>
      <c r="P1740" s="35">
        <f t="shared" si="147"/>
        <v>0.41095890410958902</v>
      </c>
    </row>
    <row r="1741" spans="12:16" ht="15" hidden="1" customHeight="1">
      <c r="L1741" s="43">
        <f t="shared" si="143"/>
        <v>46242</v>
      </c>
      <c r="M1741" s="35">
        <f t="shared" si="144"/>
        <v>0</v>
      </c>
      <c r="N1741" s="35">
        <f t="shared" si="145"/>
        <v>5000</v>
      </c>
      <c r="O1741" s="35">
        <f t="shared" si="146"/>
        <v>0.20547945205479451</v>
      </c>
      <c r="P1741" s="35">
        <f t="shared" si="147"/>
        <v>0.41095890410958902</v>
      </c>
    </row>
    <row r="1742" spans="12:16" ht="15" hidden="1" customHeight="1">
      <c r="L1742" s="43">
        <f t="shared" si="143"/>
        <v>46243</v>
      </c>
      <c r="M1742" s="35">
        <f t="shared" si="144"/>
        <v>0</v>
      </c>
      <c r="N1742" s="35">
        <f t="shared" si="145"/>
        <v>5000</v>
      </c>
      <c r="O1742" s="35">
        <f t="shared" si="146"/>
        <v>0.20547945205479451</v>
      </c>
      <c r="P1742" s="35">
        <f t="shared" si="147"/>
        <v>0.41095890410958902</v>
      </c>
    </row>
    <row r="1743" spans="12:16" ht="15" hidden="1" customHeight="1">
      <c r="L1743" s="43">
        <f t="shared" si="143"/>
        <v>46244</v>
      </c>
      <c r="M1743" s="35">
        <f t="shared" si="144"/>
        <v>0</v>
      </c>
      <c r="N1743" s="35">
        <f t="shared" si="145"/>
        <v>5000</v>
      </c>
      <c r="O1743" s="35">
        <f t="shared" si="146"/>
        <v>0.20547945205479451</v>
      </c>
      <c r="P1743" s="35">
        <f t="shared" si="147"/>
        <v>0.41095890410958902</v>
      </c>
    </row>
    <row r="1744" spans="12:16" ht="15" hidden="1" customHeight="1">
      <c r="L1744" s="43">
        <f t="shared" si="143"/>
        <v>46245</v>
      </c>
      <c r="M1744" s="35">
        <f t="shared" si="144"/>
        <v>0</v>
      </c>
      <c r="N1744" s="35">
        <f t="shared" si="145"/>
        <v>5000</v>
      </c>
      <c r="O1744" s="35">
        <f t="shared" si="146"/>
        <v>0.20547945205479451</v>
      </c>
      <c r="P1744" s="35">
        <f t="shared" si="147"/>
        <v>0.41095890410958902</v>
      </c>
    </row>
    <row r="1745" spans="12:16" ht="15" hidden="1" customHeight="1">
      <c r="L1745" s="43">
        <f t="shared" si="143"/>
        <v>46246</v>
      </c>
      <c r="M1745" s="35">
        <f t="shared" si="144"/>
        <v>0</v>
      </c>
      <c r="N1745" s="35">
        <f t="shared" si="145"/>
        <v>5000</v>
      </c>
      <c r="O1745" s="35">
        <f t="shared" si="146"/>
        <v>0.20547945205479451</v>
      </c>
      <c r="P1745" s="35">
        <f t="shared" si="147"/>
        <v>0.41095890410958902</v>
      </c>
    </row>
    <row r="1746" spans="12:16" ht="15" hidden="1" customHeight="1">
      <c r="L1746" s="43">
        <f t="shared" si="143"/>
        <v>46247</v>
      </c>
      <c r="M1746" s="35">
        <f t="shared" si="144"/>
        <v>0</v>
      </c>
      <c r="N1746" s="35">
        <f t="shared" si="145"/>
        <v>5000</v>
      </c>
      <c r="O1746" s="35">
        <f t="shared" si="146"/>
        <v>0.20547945205479451</v>
      </c>
      <c r="P1746" s="35">
        <f t="shared" si="147"/>
        <v>0.41095890410958902</v>
      </c>
    </row>
    <row r="1747" spans="12:16" ht="15" hidden="1" customHeight="1">
      <c r="L1747" s="43">
        <f t="shared" si="143"/>
        <v>46248</v>
      </c>
      <c r="M1747" s="35">
        <f t="shared" si="144"/>
        <v>0</v>
      </c>
      <c r="N1747" s="35">
        <f t="shared" si="145"/>
        <v>5000</v>
      </c>
      <c r="O1747" s="35">
        <f t="shared" si="146"/>
        <v>0.20547945205479451</v>
      </c>
      <c r="P1747" s="35">
        <f t="shared" si="147"/>
        <v>0.41095890410958902</v>
      </c>
    </row>
    <row r="1748" spans="12:16" ht="15" hidden="1" customHeight="1">
      <c r="L1748" s="43">
        <f t="shared" si="143"/>
        <v>46249</v>
      </c>
      <c r="M1748" s="35">
        <f t="shared" si="144"/>
        <v>0</v>
      </c>
      <c r="N1748" s="35">
        <f t="shared" si="145"/>
        <v>5000</v>
      </c>
      <c r="O1748" s="35">
        <f t="shared" si="146"/>
        <v>0.20547945205479451</v>
      </c>
      <c r="P1748" s="35">
        <f t="shared" si="147"/>
        <v>0.41095890410958902</v>
      </c>
    </row>
    <row r="1749" spans="12:16" ht="15" hidden="1" customHeight="1">
      <c r="L1749" s="43">
        <f t="shared" si="143"/>
        <v>46250</v>
      </c>
      <c r="M1749" s="35">
        <f t="shared" si="144"/>
        <v>0</v>
      </c>
      <c r="N1749" s="35">
        <f t="shared" si="145"/>
        <v>5000</v>
      </c>
      <c r="O1749" s="35">
        <f t="shared" si="146"/>
        <v>0.20547945205479451</v>
      </c>
      <c r="P1749" s="35">
        <f t="shared" si="147"/>
        <v>0.41095890410958902</v>
      </c>
    </row>
    <row r="1750" spans="12:16" ht="15" hidden="1" customHeight="1">
      <c r="L1750" s="43">
        <f t="shared" si="143"/>
        <v>46251</v>
      </c>
      <c r="M1750" s="35">
        <f t="shared" si="144"/>
        <v>0</v>
      </c>
      <c r="N1750" s="35">
        <f t="shared" si="145"/>
        <v>5000</v>
      </c>
      <c r="O1750" s="35">
        <f t="shared" si="146"/>
        <v>0.20547945205479451</v>
      </c>
      <c r="P1750" s="35">
        <f t="shared" si="147"/>
        <v>0.41095890410958902</v>
      </c>
    </row>
    <row r="1751" spans="12:16" ht="15" hidden="1" customHeight="1">
      <c r="L1751" s="43">
        <f t="shared" si="143"/>
        <v>46252</v>
      </c>
      <c r="M1751" s="35">
        <f t="shared" si="144"/>
        <v>0</v>
      </c>
      <c r="N1751" s="35">
        <f t="shared" si="145"/>
        <v>5000</v>
      </c>
      <c r="O1751" s="35">
        <f t="shared" si="146"/>
        <v>0.20547945205479451</v>
      </c>
      <c r="P1751" s="35">
        <f t="shared" si="147"/>
        <v>0.41095890410958902</v>
      </c>
    </row>
    <row r="1752" spans="12:16" ht="15" hidden="1" customHeight="1">
      <c r="L1752" s="43">
        <f t="shared" si="143"/>
        <v>46253</v>
      </c>
      <c r="M1752" s="35">
        <f t="shared" si="144"/>
        <v>0</v>
      </c>
      <c r="N1752" s="35">
        <f t="shared" si="145"/>
        <v>5000</v>
      </c>
      <c r="O1752" s="35">
        <f t="shared" si="146"/>
        <v>0.20547945205479451</v>
      </c>
      <c r="P1752" s="35">
        <f t="shared" si="147"/>
        <v>0.41095890410958902</v>
      </c>
    </row>
    <row r="1753" spans="12:16" ht="15" hidden="1" customHeight="1">
      <c r="L1753" s="43">
        <f t="shared" si="143"/>
        <v>46254</v>
      </c>
      <c r="M1753" s="35">
        <f t="shared" si="144"/>
        <v>0</v>
      </c>
      <c r="N1753" s="35">
        <f t="shared" si="145"/>
        <v>5000</v>
      </c>
      <c r="O1753" s="35">
        <f t="shared" si="146"/>
        <v>0.20547945205479451</v>
      </c>
      <c r="P1753" s="35">
        <f t="shared" si="147"/>
        <v>0.41095890410958902</v>
      </c>
    </row>
    <row r="1754" spans="12:16" ht="15" hidden="1" customHeight="1">
      <c r="L1754" s="43">
        <f t="shared" si="143"/>
        <v>46255</v>
      </c>
      <c r="M1754" s="35">
        <f t="shared" si="144"/>
        <v>0</v>
      </c>
      <c r="N1754" s="35">
        <f t="shared" si="145"/>
        <v>5000</v>
      </c>
      <c r="O1754" s="35">
        <f t="shared" si="146"/>
        <v>0.20547945205479451</v>
      </c>
      <c r="P1754" s="35">
        <f t="shared" si="147"/>
        <v>0.41095890410958902</v>
      </c>
    </row>
    <row r="1755" spans="12:16" ht="15" hidden="1" customHeight="1">
      <c r="L1755" s="43">
        <f t="shared" si="143"/>
        <v>46256</v>
      </c>
      <c r="M1755" s="35">
        <f t="shared" si="144"/>
        <v>0</v>
      </c>
      <c r="N1755" s="35">
        <f t="shared" si="145"/>
        <v>5000</v>
      </c>
      <c r="O1755" s="35">
        <f t="shared" si="146"/>
        <v>0.20547945205479451</v>
      </c>
      <c r="P1755" s="35">
        <f t="shared" si="147"/>
        <v>0.41095890410958902</v>
      </c>
    </row>
    <row r="1756" spans="12:16" ht="15" hidden="1" customHeight="1">
      <c r="L1756" s="43">
        <f t="shared" si="143"/>
        <v>46257</v>
      </c>
      <c r="M1756" s="35">
        <f t="shared" si="144"/>
        <v>0</v>
      </c>
      <c r="N1756" s="35">
        <f t="shared" si="145"/>
        <v>5000</v>
      </c>
      <c r="O1756" s="35">
        <f t="shared" si="146"/>
        <v>0.20547945205479451</v>
      </c>
      <c r="P1756" s="35">
        <f t="shared" si="147"/>
        <v>0.41095890410958902</v>
      </c>
    </row>
    <row r="1757" spans="12:16" ht="15" hidden="1" customHeight="1">
      <c r="L1757" s="43">
        <f t="shared" si="143"/>
        <v>46258</v>
      </c>
      <c r="M1757" s="35">
        <f t="shared" si="144"/>
        <v>0</v>
      </c>
      <c r="N1757" s="35">
        <f t="shared" si="145"/>
        <v>5000</v>
      </c>
      <c r="O1757" s="35">
        <f t="shared" si="146"/>
        <v>0.20547945205479451</v>
      </c>
      <c r="P1757" s="35">
        <f t="shared" si="147"/>
        <v>0.41095890410958902</v>
      </c>
    </row>
    <row r="1758" spans="12:16" ht="15" hidden="1" customHeight="1">
      <c r="L1758" s="43">
        <f t="shared" si="143"/>
        <v>46259</v>
      </c>
      <c r="M1758" s="35">
        <f t="shared" si="144"/>
        <v>0</v>
      </c>
      <c r="N1758" s="35">
        <f t="shared" si="145"/>
        <v>5000</v>
      </c>
      <c r="O1758" s="35">
        <f t="shared" si="146"/>
        <v>0.20547945205479451</v>
      </c>
      <c r="P1758" s="35">
        <f t="shared" si="147"/>
        <v>0.41095890410958902</v>
      </c>
    </row>
    <row r="1759" spans="12:16" ht="15" hidden="1" customHeight="1">
      <c r="L1759" s="43">
        <f t="shared" ref="L1759:L1822" si="148">IFERROR(IF(MAX(L1758+1,Дата_получения_Займа+1)&gt;Дата_погашения_Займа,"-",MAX(L1758+1,Дата_получения_Займа+1)),"-")</f>
        <v>46260</v>
      </c>
      <c r="M1759" s="35">
        <f t="shared" ref="M1759:M1822" si="149">IFERROR(VLOOKUP(L1759,$B$31:$E$59,4,FALSE),0)</f>
        <v>0</v>
      </c>
      <c r="N1759" s="35">
        <f t="shared" ref="N1759:N1822" si="150">IF(ISNUMBER(N1758),N1758-M1759,$E$20)</f>
        <v>5000</v>
      </c>
      <c r="O1759" s="35">
        <f t="shared" ref="O1759:O1822" si="151">IFERROR(IF(ISNUMBER(N1758),N1758,$E$20)*IF(L1759&gt;=$J$20,$E$25,$E$24)/IF(MOD(YEAR(L1759),4),365,366)*IF(ISBLANK(L1758),L1759-$E$22,L1759-L1758),0)</f>
        <v>0.20547945205479451</v>
      </c>
      <c r="P1759" s="35">
        <f t="shared" ref="P1759:P1822" si="152">IFERROR(IF(ISNUMBER(N1758),N1758,$E$20)*3%/IF(MOD(YEAR(L1759),4),365,366)*IF(ISBLANK(L1758),(L1759-$E$22),L1759-L1758),0)</f>
        <v>0.41095890410958902</v>
      </c>
    </row>
    <row r="1760" spans="12:16" ht="15" hidden="1" customHeight="1">
      <c r="L1760" s="43">
        <f t="shared" si="148"/>
        <v>46261</v>
      </c>
      <c r="M1760" s="35">
        <f t="shared" si="149"/>
        <v>0</v>
      </c>
      <c r="N1760" s="35">
        <f t="shared" si="150"/>
        <v>5000</v>
      </c>
      <c r="O1760" s="35">
        <f t="shared" si="151"/>
        <v>0.20547945205479451</v>
      </c>
      <c r="P1760" s="35">
        <f t="shared" si="152"/>
        <v>0.41095890410958902</v>
      </c>
    </row>
    <row r="1761" spans="12:16" ht="15" hidden="1" customHeight="1">
      <c r="L1761" s="43">
        <f t="shared" si="148"/>
        <v>46262</v>
      </c>
      <c r="M1761" s="35">
        <f t="shared" si="149"/>
        <v>0</v>
      </c>
      <c r="N1761" s="35">
        <f t="shared" si="150"/>
        <v>5000</v>
      </c>
      <c r="O1761" s="35">
        <f t="shared" si="151"/>
        <v>0.20547945205479451</v>
      </c>
      <c r="P1761" s="35">
        <f t="shared" si="152"/>
        <v>0.41095890410958902</v>
      </c>
    </row>
    <row r="1762" spans="12:16" ht="15" hidden="1" customHeight="1">
      <c r="L1762" s="43">
        <f t="shared" si="148"/>
        <v>46263</v>
      </c>
      <c r="M1762" s="35">
        <f t="shared" si="149"/>
        <v>0</v>
      </c>
      <c r="N1762" s="35">
        <f t="shared" si="150"/>
        <v>5000</v>
      </c>
      <c r="O1762" s="35">
        <f t="shared" si="151"/>
        <v>0.20547945205479451</v>
      </c>
      <c r="P1762" s="35">
        <f t="shared" si="152"/>
        <v>0.41095890410958902</v>
      </c>
    </row>
    <row r="1763" spans="12:16" ht="15" hidden="1" customHeight="1">
      <c r="L1763" s="43">
        <f t="shared" si="148"/>
        <v>46264</v>
      </c>
      <c r="M1763" s="35">
        <f t="shared" si="149"/>
        <v>0</v>
      </c>
      <c r="N1763" s="35">
        <f t="shared" si="150"/>
        <v>5000</v>
      </c>
      <c r="O1763" s="35">
        <f t="shared" si="151"/>
        <v>0.20547945205479451</v>
      </c>
      <c r="P1763" s="35">
        <f t="shared" si="152"/>
        <v>0.41095890410958902</v>
      </c>
    </row>
    <row r="1764" spans="12:16" ht="15" hidden="1" customHeight="1">
      <c r="L1764" s="43">
        <f t="shared" si="148"/>
        <v>46265</v>
      </c>
      <c r="M1764" s="35">
        <f t="shared" si="149"/>
        <v>0</v>
      </c>
      <c r="N1764" s="35">
        <f t="shared" si="150"/>
        <v>5000</v>
      </c>
      <c r="O1764" s="35">
        <f t="shared" si="151"/>
        <v>0.20547945205479451</v>
      </c>
      <c r="P1764" s="35">
        <f t="shared" si="152"/>
        <v>0.41095890410958902</v>
      </c>
    </row>
    <row r="1765" spans="12:16" ht="15" hidden="1" customHeight="1">
      <c r="L1765" s="43">
        <f t="shared" si="148"/>
        <v>46266</v>
      </c>
      <c r="M1765" s="35">
        <f t="shared" si="149"/>
        <v>0</v>
      </c>
      <c r="N1765" s="35">
        <f t="shared" si="150"/>
        <v>5000</v>
      </c>
      <c r="O1765" s="35">
        <f t="shared" si="151"/>
        <v>0.20547945205479451</v>
      </c>
      <c r="P1765" s="35">
        <f t="shared" si="152"/>
        <v>0.41095890410958902</v>
      </c>
    </row>
    <row r="1766" spans="12:16" ht="15" hidden="1" customHeight="1">
      <c r="L1766" s="43">
        <f t="shared" si="148"/>
        <v>46267</v>
      </c>
      <c r="M1766" s="35">
        <f t="shared" si="149"/>
        <v>0</v>
      </c>
      <c r="N1766" s="35">
        <f t="shared" si="150"/>
        <v>5000</v>
      </c>
      <c r="O1766" s="35">
        <f t="shared" si="151"/>
        <v>0.20547945205479451</v>
      </c>
      <c r="P1766" s="35">
        <f t="shared" si="152"/>
        <v>0.41095890410958902</v>
      </c>
    </row>
    <row r="1767" spans="12:16" ht="15" hidden="1" customHeight="1">
      <c r="L1767" s="43">
        <f t="shared" si="148"/>
        <v>46268</v>
      </c>
      <c r="M1767" s="35">
        <f t="shared" si="149"/>
        <v>0</v>
      </c>
      <c r="N1767" s="35">
        <f t="shared" si="150"/>
        <v>5000</v>
      </c>
      <c r="O1767" s="35">
        <f t="shared" si="151"/>
        <v>0.20547945205479451</v>
      </c>
      <c r="P1767" s="35">
        <f t="shared" si="152"/>
        <v>0.41095890410958902</v>
      </c>
    </row>
    <row r="1768" spans="12:16" ht="15" hidden="1" customHeight="1">
      <c r="L1768" s="43">
        <f t="shared" si="148"/>
        <v>46269</v>
      </c>
      <c r="M1768" s="35">
        <f t="shared" si="149"/>
        <v>0</v>
      </c>
      <c r="N1768" s="35">
        <f t="shared" si="150"/>
        <v>5000</v>
      </c>
      <c r="O1768" s="35">
        <f t="shared" si="151"/>
        <v>0.20547945205479451</v>
      </c>
      <c r="P1768" s="35">
        <f t="shared" si="152"/>
        <v>0.41095890410958902</v>
      </c>
    </row>
    <row r="1769" spans="12:16" ht="15" hidden="1" customHeight="1">
      <c r="L1769" s="43">
        <f t="shared" si="148"/>
        <v>46270</v>
      </c>
      <c r="M1769" s="35">
        <f t="shared" si="149"/>
        <v>0</v>
      </c>
      <c r="N1769" s="35">
        <f t="shared" si="150"/>
        <v>5000</v>
      </c>
      <c r="O1769" s="35">
        <f t="shared" si="151"/>
        <v>0.20547945205479451</v>
      </c>
      <c r="P1769" s="35">
        <f t="shared" si="152"/>
        <v>0.41095890410958902</v>
      </c>
    </row>
    <row r="1770" spans="12:16" ht="15" hidden="1" customHeight="1">
      <c r="L1770" s="43">
        <f t="shared" si="148"/>
        <v>46271</v>
      </c>
      <c r="M1770" s="35">
        <f t="shared" si="149"/>
        <v>0</v>
      </c>
      <c r="N1770" s="35">
        <f t="shared" si="150"/>
        <v>5000</v>
      </c>
      <c r="O1770" s="35">
        <f t="shared" si="151"/>
        <v>0.20547945205479451</v>
      </c>
      <c r="P1770" s="35">
        <f t="shared" si="152"/>
        <v>0.41095890410958902</v>
      </c>
    </row>
    <row r="1771" spans="12:16" ht="15" hidden="1" customHeight="1">
      <c r="L1771" s="43">
        <f t="shared" si="148"/>
        <v>46272</v>
      </c>
      <c r="M1771" s="35">
        <f t="shared" si="149"/>
        <v>0</v>
      </c>
      <c r="N1771" s="35">
        <f t="shared" si="150"/>
        <v>5000</v>
      </c>
      <c r="O1771" s="35">
        <f t="shared" si="151"/>
        <v>0.20547945205479451</v>
      </c>
      <c r="P1771" s="35">
        <f t="shared" si="152"/>
        <v>0.41095890410958902</v>
      </c>
    </row>
    <row r="1772" spans="12:16" ht="15" hidden="1" customHeight="1">
      <c r="L1772" s="43">
        <f t="shared" si="148"/>
        <v>46273</v>
      </c>
      <c r="M1772" s="35">
        <f t="shared" si="149"/>
        <v>0</v>
      </c>
      <c r="N1772" s="35">
        <f t="shared" si="150"/>
        <v>5000</v>
      </c>
      <c r="O1772" s="35">
        <f t="shared" si="151"/>
        <v>0.20547945205479451</v>
      </c>
      <c r="P1772" s="35">
        <f t="shared" si="152"/>
        <v>0.41095890410958902</v>
      </c>
    </row>
    <row r="1773" spans="12:16" ht="15" hidden="1" customHeight="1">
      <c r="L1773" s="43">
        <f t="shared" si="148"/>
        <v>46274</v>
      </c>
      <c r="M1773" s="35">
        <f t="shared" si="149"/>
        <v>0</v>
      </c>
      <c r="N1773" s="35">
        <f t="shared" si="150"/>
        <v>5000</v>
      </c>
      <c r="O1773" s="35">
        <f t="shared" si="151"/>
        <v>0.20547945205479451</v>
      </c>
      <c r="P1773" s="35">
        <f t="shared" si="152"/>
        <v>0.41095890410958902</v>
      </c>
    </row>
    <row r="1774" spans="12:16" ht="15" hidden="1" customHeight="1">
      <c r="L1774" s="43">
        <f t="shared" si="148"/>
        <v>46275</v>
      </c>
      <c r="M1774" s="35">
        <f t="shared" si="149"/>
        <v>0</v>
      </c>
      <c r="N1774" s="35">
        <f t="shared" si="150"/>
        <v>5000</v>
      </c>
      <c r="O1774" s="35">
        <f t="shared" si="151"/>
        <v>0.20547945205479451</v>
      </c>
      <c r="P1774" s="35">
        <f t="shared" si="152"/>
        <v>0.41095890410958902</v>
      </c>
    </row>
    <row r="1775" spans="12:16" ht="15" hidden="1" customHeight="1">
      <c r="L1775" s="43">
        <f t="shared" si="148"/>
        <v>46276</v>
      </c>
      <c r="M1775" s="35">
        <f t="shared" si="149"/>
        <v>0</v>
      </c>
      <c r="N1775" s="35">
        <f t="shared" si="150"/>
        <v>5000</v>
      </c>
      <c r="O1775" s="35">
        <f t="shared" si="151"/>
        <v>0.20547945205479451</v>
      </c>
      <c r="P1775" s="35">
        <f t="shared" si="152"/>
        <v>0.41095890410958902</v>
      </c>
    </row>
    <row r="1776" spans="12:16" ht="15" hidden="1" customHeight="1">
      <c r="L1776" s="43">
        <f t="shared" si="148"/>
        <v>46277</v>
      </c>
      <c r="M1776" s="35">
        <f t="shared" si="149"/>
        <v>0</v>
      </c>
      <c r="N1776" s="35">
        <f t="shared" si="150"/>
        <v>5000</v>
      </c>
      <c r="O1776" s="35">
        <f t="shared" si="151"/>
        <v>0.20547945205479451</v>
      </c>
      <c r="P1776" s="35">
        <f t="shared" si="152"/>
        <v>0.41095890410958902</v>
      </c>
    </row>
    <row r="1777" spans="12:16" ht="15" hidden="1" customHeight="1">
      <c r="L1777" s="43">
        <f t="shared" si="148"/>
        <v>46278</v>
      </c>
      <c r="M1777" s="35">
        <f t="shared" si="149"/>
        <v>0</v>
      </c>
      <c r="N1777" s="35">
        <f t="shared" si="150"/>
        <v>5000</v>
      </c>
      <c r="O1777" s="35">
        <f t="shared" si="151"/>
        <v>0.20547945205479451</v>
      </c>
      <c r="P1777" s="35">
        <f t="shared" si="152"/>
        <v>0.41095890410958902</v>
      </c>
    </row>
    <row r="1778" spans="12:16" ht="15" hidden="1" customHeight="1">
      <c r="L1778" s="43">
        <f t="shared" si="148"/>
        <v>46279</v>
      </c>
      <c r="M1778" s="35">
        <f t="shared" si="149"/>
        <v>0</v>
      </c>
      <c r="N1778" s="35">
        <f t="shared" si="150"/>
        <v>5000</v>
      </c>
      <c r="O1778" s="35">
        <f t="shared" si="151"/>
        <v>0.20547945205479451</v>
      </c>
      <c r="P1778" s="35">
        <f t="shared" si="152"/>
        <v>0.41095890410958902</v>
      </c>
    </row>
    <row r="1779" spans="12:16" ht="15" hidden="1" customHeight="1">
      <c r="L1779" s="43">
        <f t="shared" si="148"/>
        <v>46280</v>
      </c>
      <c r="M1779" s="35">
        <f t="shared" si="149"/>
        <v>0</v>
      </c>
      <c r="N1779" s="35">
        <f t="shared" si="150"/>
        <v>5000</v>
      </c>
      <c r="O1779" s="35">
        <f t="shared" si="151"/>
        <v>0.20547945205479451</v>
      </c>
      <c r="P1779" s="35">
        <f t="shared" si="152"/>
        <v>0.41095890410958902</v>
      </c>
    </row>
    <row r="1780" spans="12:16" ht="15" hidden="1" customHeight="1">
      <c r="L1780" s="43">
        <f t="shared" si="148"/>
        <v>46281</v>
      </c>
      <c r="M1780" s="35">
        <f t="shared" si="149"/>
        <v>0</v>
      </c>
      <c r="N1780" s="35">
        <f t="shared" si="150"/>
        <v>5000</v>
      </c>
      <c r="O1780" s="35">
        <f t="shared" si="151"/>
        <v>0.20547945205479451</v>
      </c>
      <c r="P1780" s="35">
        <f t="shared" si="152"/>
        <v>0.41095890410958902</v>
      </c>
    </row>
    <row r="1781" spans="12:16" ht="15" hidden="1" customHeight="1">
      <c r="L1781" s="43">
        <f t="shared" si="148"/>
        <v>46282</v>
      </c>
      <c r="M1781" s="35">
        <f t="shared" si="149"/>
        <v>0</v>
      </c>
      <c r="N1781" s="35">
        <f t="shared" si="150"/>
        <v>5000</v>
      </c>
      <c r="O1781" s="35">
        <f t="shared" si="151"/>
        <v>0.20547945205479451</v>
      </c>
      <c r="P1781" s="35">
        <f t="shared" si="152"/>
        <v>0.41095890410958902</v>
      </c>
    </row>
    <row r="1782" spans="12:16" ht="15" hidden="1" customHeight="1">
      <c r="L1782" s="43">
        <f t="shared" si="148"/>
        <v>46283</v>
      </c>
      <c r="M1782" s="35">
        <f t="shared" si="149"/>
        <v>0</v>
      </c>
      <c r="N1782" s="35">
        <f t="shared" si="150"/>
        <v>5000</v>
      </c>
      <c r="O1782" s="35">
        <f t="shared" si="151"/>
        <v>0.20547945205479451</v>
      </c>
      <c r="P1782" s="35">
        <f t="shared" si="152"/>
        <v>0.41095890410958902</v>
      </c>
    </row>
    <row r="1783" spans="12:16" ht="15" hidden="1" customHeight="1">
      <c r="L1783" s="43">
        <f t="shared" si="148"/>
        <v>46284</v>
      </c>
      <c r="M1783" s="35">
        <f t="shared" si="149"/>
        <v>0</v>
      </c>
      <c r="N1783" s="35">
        <f t="shared" si="150"/>
        <v>5000</v>
      </c>
      <c r="O1783" s="35">
        <f t="shared" si="151"/>
        <v>0.20547945205479451</v>
      </c>
      <c r="P1783" s="35">
        <f t="shared" si="152"/>
        <v>0.41095890410958902</v>
      </c>
    </row>
    <row r="1784" spans="12:16" ht="15" hidden="1" customHeight="1">
      <c r="L1784" s="43">
        <f t="shared" si="148"/>
        <v>46285</v>
      </c>
      <c r="M1784" s="35">
        <f t="shared" si="149"/>
        <v>0</v>
      </c>
      <c r="N1784" s="35">
        <f t="shared" si="150"/>
        <v>5000</v>
      </c>
      <c r="O1784" s="35">
        <f t="shared" si="151"/>
        <v>0.20547945205479451</v>
      </c>
      <c r="P1784" s="35">
        <f t="shared" si="152"/>
        <v>0.41095890410958902</v>
      </c>
    </row>
    <row r="1785" spans="12:16" ht="15" hidden="1" customHeight="1">
      <c r="L1785" s="43">
        <f t="shared" si="148"/>
        <v>46286</v>
      </c>
      <c r="M1785" s="35">
        <f t="shared" si="149"/>
        <v>0</v>
      </c>
      <c r="N1785" s="35">
        <f t="shared" si="150"/>
        <v>5000</v>
      </c>
      <c r="O1785" s="35">
        <f t="shared" si="151"/>
        <v>0.20547945205479451</v>
      </c>
      <c r="P1785" s="35">
        <f t="shared" si="152"/>
        <v>0.41095890410958902</v>
      </c>
    </row>
    <row r="1786" spans="12:16" ht="15" hidden="1" customHeight="1">
      <c r="L1786" s="43">
        <f t="shared" si="148"/>
        <v>46287</v>
      </c>
      <c r="M1786" s="35">
        <f t="shared" si="149"/>
        <v>0</v>
      </c>
      <c r="N1786" s="35">
        <f t="shared" si="150"/>
        <v>5000</v>
      </c>
      <c r="O1786" s="35">
        <f t="shared" si="151"/>
        <v>0.20547945205479451</v>
      </c>
      <c r="P1786" s="35">
        <f t="shared" si="152"/>
        <v>0.41095890410958902</v>
      </c>
    </row>
    <row r="1787" spans="12:16" ht="15" hidden="1" customHeight="1">
      <c r="L1787" s="43">
        <f t="shared" si="148"/>
        <v>46288</v>
      </c>
      <c r="M1787" s="35">
        <f t="shared" si="149"/>
        <v>0</v>
      </c>
      <c r="N1787" s="35">
        <f t="shared" si="150"/>
        <v>5000</v>
      </c>
      <c r="O1787" s="35">
        <f t="shared" si="151"/>
        <v>0.20547945205479451</v>
      </c>
      <c r="P1787" s="35">
        <f t="shared" si="152"/>
        <v>0.41095890410958902</v>
      </c>
    </row>
    <row r="1788" spans="12:16" ht="15" hidden="1" customHeight="1">
      <c r="L1788" s="43">
        <f t="shared" si="148"/>
        <v>46289</v>
      </c>
      <c r="M1788" s="35">
        <f t="shared" si="149"/>
        <v>0</v>
      </c>
      <c r="N1788" s="35">
        <f t="shared" si="150"/>
        <v>5000</v>
      </c>
      <c r="O1788" s="35">
        <f t="shared" si="151"/>
        <v>0.20547945205479451</v>
      </c>
      <c r="P1788" s="35">
        <f t="shared" si="152"/>
        <v>0.41095890410958902</v>
      </c>
    </row>
    <row r="1789" spans="12:16" ht="15" hidden="1" customHeight="1">
      <c r="L1789" s="43">
        <f t="shared" si="148"/>
        <v>46290</v>
      </c>
      <c r="M1789" s="35">
        <f t="shared" si="149"/>
        <v>0</v>
      </c>
      <c r="N1789" s="35">
        <f t="shared" si="150"/>
        <v>5000</v>
      </c>
      <c r="O1789" s="35">
        <f t="shared" si="151"/>
        <v>0.20547945205479451</v>
      </c>
      <c r="P1789" s="35">
        <f t="shared" si="152"/>
        <v>0.41095890410958902</v>
      </c>
    </row>
    <row r="1790" spans="12:16" ht="15" hidden="1" customHeight="1">
      <c r="L1790" s="43">
        <f t="shared" si="148"/>
        <v>46291</v>
      </c>
      <c r="M1790" s="35">
        <f t="shared" si="149"/>
        <v>0</v>
      </c>
      <c r="N1790" s="35">
        <f t="shared" si="150"/>
        <v>5000</v>
      </c>
      <c r="O1790" s="35">
        <f t="shared" si="151"/>
        <v>0.20547945205479451</v>
      </c>
      <c r="P1790" s="35">
        <f t="shared" si="152"/>
        <v>0.41095890410958902</v>
      </c>
    </row>
    <row r="1791" spans="12:16" ht="15" hidden="1" customHeight="1">
      <c r="L1791" s="43">
        <f t="shared" si="148"/>
        <v>46292</v>
      </c>
      <c r="M1791" s="35">
        <f t="shared" si="149"/>
        <v>0</v>
      </c>
      <c r="N1791" s="35">
        <f t="shared" si="150"/>
        <v>5000</v>
      </c>
      <c r="O1791" s="35">
        <f t="shared" si="151"/>
        <v>0.20547945205479451</v>
      </c>
      <c r="P1791" s="35">
        <f t="shared" si="152"/>
        <v>0.41095890410958902</v>
      </c>
    </row>
    <row r="1792" spans="12:16" ht="15" hidden="1" customHeight="1">
      <c r="L1792" s="43">
        <f t="shared" si="148"/>
        <v>46293</v>
      </c>
      <c r="M1792" s="35">
        <f t="shared" si="149"/>
        <v>0</v>
      </c>
      <c r="N1792" s="35">
        <f t="shared" si="150"/>
        <v>5000</v>
      </c>
      <c r="O1792" s="35">
        <f t="shared" si="151"/>
        <v>0.20547945205479451</v>
      </c>
      <c r="P1792" s="35">
        <f t="shared" si="152"/>
        <v>0.41095890410958902</v>
      </c>
    </row>
    <row r="1793" spans="12:16" ht="15" hidden="1" customHeight="1">
      <c r="L1793" s="43">
        <f t="shared" si="148"/>
        <v>46294</v>
      </c>
      <c r="M1793" s="35">
        <f t="shared" si="149"/>
        <v>0</v>
      </c>
      <c r="N1793" s="35">
        <f t="shared" si="150"/>
        <v>5000</v>
      </c>
      <c r="O1793" s="35">
        <f t="shared" si="151"/>
        <v>0.20547945205479451</v>
      </c>
      <c r="P1793" s="35">
        <f t="shared" si="152"/>
        <v>0.41095890410958902</v>
      </c>
    </row>
    <row r="1794" spans="12:16" ht="15" hidden="1" customHeight="1">
      <c r="L1794" s="43">
        <f t="shared" si="148"/>
        <v>46295</v>
      </c>
      <c r="M1794" s="35">
        <f t="shared" si="149"/>
        <v>2500</v>
      </c>
      <c r="N1794" s="35">
        <f t="shared" si="150"/>
        <v>2500</v>
      </c>
      <c r="O1794" s="35">
        <f t="shared" si="151"/>
        <v>0.20547945205479451</v>
      </c>
      <c r="P1794" s="35">
        <f t="shared" si="152"/>
        <v>0.41095890410958902</v>
      </c>
    </row>
    <row r="1795" spans="12:16" ht="15" hidden="1" customHeight="1">
      <c r="L1795" s="43">
        <f t="shared" si="148"/>
        <v>46296</v>
      </c>
      <c r="M1795" s="35">
        <f t="shared" si="149"/>
        <v>0</v>
      </c>
      <c r="N1795" s="35">
        <f t="shared" si="150"/>
        <v>2500</v>
      </c>
      <c r="O1795" s="35">
        <f t="shared" si="151"/>
        <v>0.10273972602739725</v>
      </c>
      <c r="P1795" s="35">
        <f t="shared" si="152"/>
        <v>0.20547945205479451</v>
      </c>
    </row>
    <row r="1796" spans="12:16" ht="15" hidden="1" customHeight="1">
      <c r="L1796" s="43">
        <f t="shared" si="148"/>
        <v>46297</v>
      </c>
      <c r="M1796" s="35">
        <f t="shared" si="149"/>
        <v>0</v>
      </c>
      <c r="N1796" s="35">
        <f t="shared" si="150"/>
        <v>2500</v>
      </c>
      <c r="O1796" s="35">
        <f t="shared" si="151"/>
        <v>0.10273972602739725</v>
      </c>
      <c r="P1796" s="35">
        <f t="shared" si="152"/>
        <v>0.20547945205479451</v>
      </c>
    </row>
    <row r="1797" spans="12:16" ht="15" hidden="1" customHeight="1">
      <c r="L1797" s="43">
        <f t="shared" si="148"/>
        <v>46298</v>
      </c>
      <c r="M1797" s="35">
        <f t="shared" si="149"/>
        <v>0</v>
      </c>
      <c r="N1797" s="35">
        <f t="shared" si="150"/>
        <v>2500</v>
      </c>
      <c r="O1797" s="35">
        <f t="shared" si="151"/>
        <v>0.10273972602739725</v>
      </c>
      <c r="P1797" s="35">
        <f t="shared" si="152"/>
        <v>0.20547945205479451</v>
      </c>
    </row>
    <row r="1798" spans="12:16" ht="15" hidden="1" customHeight="1">
      <c r="L1798" s="43">
        <f t="shared" si="148"/>
        <v>46299</v>
      </c>
      <c r="M1798" s="35">
        <f t="shared" si="149"/>
        <v>0</v>
      </c>
      <c r="N1798" s="35">
        <f t="shared" si="150"/>
        <v>2500</v>
      </c>
      <c r="O1798" s="35">
        <f t="shared" si="151"/>
        <v>0.10273972602739725</v>
      </c>
      <c r="P1798" s="35">
        <f t="shared" si="152"/>
        <v>0.20547945205479451</v>
      </c>
    </row>
    <row r="1799" spans="12:16" ht="15" hidden="1" customHeight="1">
      <c r="L1799" s="43">
        <f t="shared" si="148"/>
        <v>46300</v>
      </c>
      <c r="M1799" s="35">
        <f t="shared" si="149"/>
        <v>0</v>
      </c>
      <c r="N1799" s="35">
        <f t="shared" si="150"/>
        <v>2500</v>
      </c>
      <c r="O1799" s="35">
        <f t="shared" si="151"/>
        <v>0.10273972602739725</v>
      </c>
      <c r="P1799" s="35">
        <f t="shared" si="152"/>
        <v>0.20547945205479451</v>
      </c>
    </row>
    <row r="1800" spans="12:16" ht="15" hidden="1" customHeight="1">
      <c r="L1800" s="43">
        <f t="shared" si="148"/>
        <v>46301</v>
      </c>
      <c r="M1800" s="35">
        <f t="shared" si="149"/>
        <v>0</v>
      </c>
      <c r="N1800" s="35">
        <f t="shared" si="150"/>
        <v>2500</v>
      </c>
      <c r="O1800" s="35">
        <f t="shared" si="151"/>
        <v>0.10273972602739725</v>
      </c>
      <c r="P1800" s="35">
        <f t="shared" si="152"/>
        <v>0.20547945205479451</v>
      </c>
    </row>
    <row r="1801" spans="12:16" ht="15" hidden="1" customHeight="1">
      <c r="L1801" s="43">
        <f t="shared" si="148"/>
        <v>46302</v>
      </c>
      <c r="M1801" s="35">
        <f t="shared" si="149"/>
        <v>0</v>
      </c>
      <c r="N1801" s="35">
        <f t="shared" si="150"/>
        <v>2500</v>
      </c>
      <c r="O1801" s="35">
        <f t="shared" si="151"/>
        <v>0.10273972602739725</v>
      </c>
      <c r="P1801" s="35">
        <f t="shared" si="152"/>
        <v>0.20547945205479451</v>
      </c>
    </row>
    <row r="1802" spans="12:16" ht="15" hidden="1" customHeight="1">
      <c r="L1802" s="43">
        <f t="shared" si="148"/>
        <v>46303</v>
      </c>
      <c r="M1802" s="35">
        <f t="shared" si="149"/>
        <v>0</v>
      </c>
      <c r="N1802" s="35">
        <f t="shared" si="150"/>
        <v>2500</v>
      </c>
      <c r="O1802" s="35">
        <f t="shared" si="151"/>
        <v>0.10273972602739725</v>
      </c>
      <c r="P1802" s="35">
        <f t="shared" si="152"/>
        <v>0.20547945205479451</v>
      </c>
    </row>
    <row r="1803" spans="12:16" ht="15" hidden="1" customHeight="1">
      <c r="L1803" s="43">
        <f t="shared" si="148"/>
        <v>46304</v>
      </c>
      <c r="M1803" s="35">
        <f t="shared" si="149"/>
        <v>0</v>
      </c>
      <c r="N1803" s="35">
        <f t="shared" si="150"/>
        <v>2500</v>
      </c>
      <c r="O1803" s="35">
        <f t="shared" si="151"/>
        <v>0.10273972602739725</v>
      </c>
      <c r="P1803" s="35">
        <f t="shared" si="152"/>
        <v>0.20547945205479451</v>
      </c>
    </row>
    <row r="1804" spans="12:16" ht="15" hidden="1" customHeight="1">
      <c r="L1804" s="43">
        <f t="shared" si="148"/>
        <v>46305</v>
      </c>
      <c r="M1804" s="35">
        <f t="shared" si="149"/>
        <v>0</v>
      </c>
      <c r="N1804" s="35">
        <f t="shared" si="150"/>
        <v>2500</v>
      </c>
      <c r="O1804" s="35">
        <f t="shared" si="151"/>
        <v>0.10273972602739725</v>
      </c>
      <c r="P1804" s="35">
        <f t="shared" si="152"/>
        <v>0.20547945205479451</v>
      </c>
    </row>
    <row r="1805" spans="12:16" ht="15" hidden="1" customHeight="1">
      <c r="L1805" s="43">
        <f t="shared" si="148"/>
        <v>46306</v>
      </c>
      <c r="M1805" s="35">
        <f t="shared" si="149"/>
        <v>0</v>
      </c>
      <c r="N1805" s="35">
        <f t="shared" si="150"/>
        <v>2500</v>
      </c>
      <c r="O1805" s="35">
        <f t="shared" si="151"/>
        <v>0.10273972602739725</v>
      </c>
      <c r="P1805" s="35">
        <f t="shared" si="152"/>
        <v>0.20547945205479451</v>
      </c>
    </row>
    <row r="1806" spans="12:16" ht="15" hidden="1" customHeight="1">
      <c r="L1806" s="43">
        <f t="shared" si="148"/>
        <v>46307</v>
      </c>
      <c r="M1806" s="35">
        <f t="shared" si="149"/>
        <v>0</v>
      </c>
      <c r="N1806" s="35">
        <f t="shared" si="150"/>
        <v>2500</v>
      </c>
      <c r="O1806" s="35">
        <f t="shared" si="151"/>
        <v>0.10273972602739725</v>
      </c>
      <c r="P1806" s="35">
        <f t="shared" si="152"/>
        <v>0.20547945205479451</v>
      </c>
    </row>
    <row r="1807" spans="12:16" ht="15" hidden="1" customHeight="1">
      <c r="L1807" s="43">
        <f t="shared" si="148"/>
        <v>46308</v>
      </c>
      <c r="M1807" s="35">
        <f t="shared" si="149"/>
        <v>0</v>
      </c>
      <c r="N1807" s="35">
        <f t="shared" si="150"/>
        <v>2500</v>
      </c>
      <c r="O1807" s="35">
        <f t="shared" si="151"/>
        <v>0.10273972602739725</v>
      </c>
      <c r="P1807" s="35">
        <f t="shared" si="152"/>
        <v>0.20547945205479451</v>
      </c>
    </row>
    <row r="1808" spans="12:16" ht="15" hidden="1" customHeight="1">
      <c r="L1808" s="43">
        <f t="shared" si="148"/>
        <v>46309</v>
      </c>
      <c r="M1808" s="35">
        <f t="shared" si="149"/>
        <v>0</v>
      </c>
      <c r="N1808" s="35">
        <f t="shared" si="150"/>
        <v>2500</v>
      </c>
      <c r="O1808" s="35">
        <f t="shared" si="151"/>
        <v>0.10273972602739725</v>
      </c>
      <c r="P1808" s="35">
        <f t="shared" si="152"/>
        <v>0.20547945205479451</v>
      </c>
    </row>
    <row r="1809" spans="12:16" ht="15" hidden="1" customHeight="1">
      <c r="L1809" s="43">
        <f t="shared" si="148"/>
        <v>46310</v>
      </c>
      <c r="M1809" s="35">
        <f t="shared" si="149"/>
        <v>0</v>
      </c>
      <c r="N1809" s="35">
        <f t="shared" si="150"/>
        <v>2500</v>
      </c>
      <c r="O1809" s="35">
        <f t="shared" si="151"/>
        <v>0.10273972602739725</v>
      </c>
      <c r="P1809" s="35">
        <f t="shared" si="152"/>
        <v>0.20547945205479451</v>
      </c>
    </row>
    <row r="1810" spans="12:16" ht="15" hidden="1" customHeight="1">
      <c r="L1810" s="43">
        <f t="shared" si="148"/>
        <v>46311</v>
      </c>
      <c r="M1810" s="35">
        <f t="shared" si="149"/>
        <v>0</v>
      </c>
      <c r="N1810" s="35">
        <f t="shared" si="150"/>
        <v>2500</v>
      </c>
      <c r="O1810" s="35">
        <f t="shared" si="151"/>
        <v>0.10273972602739725</v>
      </c>
      <c r="P1810" s="35">
        <f t="shared" si="152"/>
        <v>0.20547945205479451</v>
      </c>
    </row>
    <row r="1811" spans="12:16" ht="15" hidden="1" customHeight="1">
      <c r="L1811" s="43">
        <f t="shared" si="148"/>
        <v>46312</v>
      </c>
      <c r="M1811" s="35">
        <f t="shared" si="149"/>
        <v>0</v>
      </c>
      <c r="N1811" s="35">
        <f t="shared" si="150"/>
        <v>2500</v>
      </c>
      <c r="O1811" s="35">
        <f t="shared" si="151"/>
        <v>0.10273972602739725</v>
      </c>
      <c r="P1811" s="35">
        <f t="shared" si="152"/>
        <v>0.20547945205479451</v>
      </c>
    </row>
    <row r="1812" spans="12:16" ht="15" hidden="1" customHeight="1">
      <c r="L1812" s="43">
        <f t="shared" si="148"/>
        <v>46313</v>
      </c>
      <c r="M1812" s="35">
        <f t="shared" si="149"/>
        <v>0</v>
      </c>
      <c r="N1812" s="35">
        <f t="shared" si="150"/>
        <v>2500</v>
      </c>
      <c r="O1812" s="35">
        <f t="shared" si="151"/>
        <v>0.10273972602739725</v>
      </c>
      <c r="P1812" s="35">
        <f t="shared" si="152"/>
        <v>0.20547945205479451</v>
      </c>
    </row>
    <row r="1813" spans="12:16" ht="15" hidden="1" customHeight="1">
      <c r="L1813" s="43">
        <f t="shared" si="148"/>
        <v>46314</v>
      </c>
      <c r="M1813" s="35">
        <f t="shared" si="149"/>
        <v>0</v>
      </c>
      <c r="N1813" s="35">
        <f t="shared" si="150"/>
        <v>2500</v>
      </c>
      <c r="O1813" s="35">
        <f t="shared" si="151"/>
        <v>0.10273972602739725</v>
      </c>
      <c r="P1813" s="35">
        <f t="shared" si="152"/>
        <v>0.20547945205479451</v>
      </c>
    </row>
    <row r="1814" spans="12:16" ht="15" hidden="1" customHeight="1">
      <c r="L1814" s="43">
        <f t="shared" si="148"/>
        <v>46315</v>
      </c>
      <c r="M1814" s="35">
        <f t="shared" si="149"/>
        <v>0</v>
      </c>
      <c r="N1814" s="35">
        <f t="shared" si="150"/>
        <v>2500</v>
      </c>
      <c r="O1814" s="35">
        <f t="shared" si="151"/>
        <v>0.10273972602739725</v>
      </c>
      <c r="P1814" s="35">
        <f t="shared" si="152"/>
        <v>0.20547945205479451</v>
      </c>
    </row>
    <row r="1815" spans="12:16" ht="15" hidden="1" customHeight="1">
      <c r="L1815" s="43">
        <f t="shared" si="148"/>
        <v>46316</v>
      </c>
      <c r="M1815" s="35">
        <f t="shared" si="149"/>
        <v>0</v>
      </c>
      <c r="N1815" s="35">
        <f t="shared" si="150"/>
        <v>2500</v>
      </c>
      <c r="O1815" s="35">
        <f t="shared" si="151"/>
        <v>0.10273972602739725</v>
      </c>
      <c r="P1815" s="35">
        <f t="shared" si="152"/>
        <v>0.20547945205479451</v>
      </c>
    </row>
    <row r="1816" spans="12:16" ht="15" hidden="1" customHeight="1">
      <c r="L1816" s="43">
        <f t="shared" si="148"/>
        <v>46317</v>
      </c>
      <c r="M1816" s="35">
        <f t="shared" si="149"/>
        <v>0</v>
      </c>
      <c r="N1816" s="35">
        <f t="shared" si="150"/>
        <v>2500</v>
      </c>
      <c r="O1816" s="35">
        <f t="shared" si="151"/>
        <v>0.10273972602739725</v>
      </c>
      <c r="P1816" s="35">
        <f t="shared" si="152"/>
        <v>0.20547945205479451</v>
      </c>
    </row>
    <row r="1817" spans="12:16" ht="15" hidden="1" customHeight="1">
      <c r="L1817" s="43">
        <f t="shared" si="148"/>
        <v>46318</v>
      </c>
      <c r="M1817" s="35">
        <f t="shared" si="149"/>
        <v>0</v>
      </c>
      <c r="N1817" s="35">
        <f t="shared" si="150"/>
        <v>2500</v>
      </c>
      <c r="O1817" s="35">
        <f t="shared" si="151"/>
        <v>0.10273972602739725</v>
      </c>
      <c r="P1817" s="35">
        <f t="shared" si="152"/>
        <v>0.20547945205479451</v>
      </c>
    </row>
    <row r="1818" spans="12:16" ht="15" hidden="1" customHeight="1">
      <c r="L1818" s="43">
        <f t="shared" si="148"/>
        <v>46319</v>
      </c>
      <c r="M1818" s="35">
        <f t="shared" si="149"/>
        <v>0</v>
      </c>
      <c r="N1818" s="35">
        <f t="shared" si="150"/>
        <v>2500</v>
      </c>
      <c r="O1818" s="35">
        <f t="shared" si="151"/>
        <v>0.10273972602739725</v>
      </c>
      <c r="P1818" s="35">
        <f t="shared" si="152"/>
        <v>0.20547945205479451</v>
      </c>
    </row>
    <row r="1819" spans="12:16" ht="15" hidden="1" customHeight="1">
      <c r="L1819" s="43">
        <f t="shared" si="148"/>
        <v>46320</v>
      </c>
      <c r="M1819" s="35">
        <f t="shared" si="149"/>
        <v>0</v>
      </c>
      <c r="N1819" s="35">
        <f t="shared" si="150"/>
        <v>2500</v>
      </c>
      <c r="O1819" s="35">
        <f t="shared" si="151"/>
        <v>0.10273972602739725</v>
      </c>
      <c r="P1819" s="35">
        <f t="shared" si="152"/>
        <v>0.20547945205479451</v>
      </c>
    </row>
    <row r="1820" spans="12:16" ht="15" hidden="1" customHeight="1">
      <c r="L1820" s="43">
        <f t="shared" si="148"/>
        <v>46321</v>
      </c>
      <c r="M1820" s="35">
        <f t="shared" si="149"/>
        <v>0</v>
      </c>
      <c r="N1820" s="35">
        <f t="shared" si="150"/>
        <v>2500</v>
      </c>
      <c r="O1820" s="35">
        <f t="shared" si="151"/>
        <v>0.10273972602739725</v>
      </c>
      <c r="P1820" s="35">
        <f t="shared" si="152"/>
        <v>0.20547945205479451</v>
      </c>
    </row>
    <row r="1821" spans="12:16" ht="15" hidden="1" customHeight="1">
      <c r="L1821" s="43">
        <f t="shared" si="148"/>
        <v>46322</v>
      </c>
      <c r="M1821" s="35">
        <f t="shared" si="149"/>
        <v>0</v>
      </c>
      <c r="N1821" s="35">
        <f t="shared" si="150"/>
        <v>2500</v>
      </c>
      <c r="O1821" s="35">
        <f t="shared" si="151"/>
        <v>0.10273972602739725</v>
      </c>
      <c r="P1821" s="35">
        <f t="shared" si="152"/>
        <v>0.20547945205479451</v>
      </c>
    </row>
    <row r="1822" spans="12:16" ht="15" hidden="1" customHeight="1">
      <c r="L1822" s="43">
        <f t="shared" si="148"/>
        <v>46323</v>
      </c>
      <c r="M1822" s="35">
        <f t="shared" si="149"/>
        <v>0</v>
      </c>
      <c r="N1822" s="35">
        <f t="shared" si="150"/>
        <v>2500</v>
      </c>
      <c r="O1822" s="35">
        <f t="shared" si="151"/>
        <v>0.10273972602739725</v>
      </c>
      <c r="P1822" s="35">
        <f t="shared" si="152"/>
        <v>0.20547945205479451</v>
      </c>
    </row>
    <row r="1823" spans="12:16" ht="15" hidden="1" customHeight="1">
      <c r="L1823" s="43">
        <f t="shared" ref="L1823:L1886" si="153">IFERROR(IF(MAX(L1822+1,Дата_получения_Займа+1)&gt;Дата_погашения_Займа,"-",MAX(L1822+1,Дата_получения_Займа+1)),"-")</f>
        <v>46324</v>
      </c>
      <c r="M1823" s="35">
        <f t="shared" ref="M1823:M1886" si="154">IFERROR(VLOOKUP(L1823,$B$31:$E$59,4,FALSE),0)</f>
        <v>0</v>
      </c>
      <c r="N1823" s="35">
        <f t="shared" ref="N1823:N1886" si="155">IF(ISNUMBER(N1822),N1822-M1823,$E$20)</f>
        <v>2500</v>
      </c>
      <c r="O1823" s="35">
        <f t="shared" ref="O1823:O1886" si="156">IFERROR(IF(ISNUMBER(N1822),N1822,$E$20)*IF(L1823&gt;=$J$20,$E$25,$E$24)/IF(MOD(YEAR(L1823),4),365,366)*IF(ISBLANK(L1822),L1823-$E$22,L1823-L1822),0)</f>
        <v>0.10273972602739725</v>
      </c>
      <c r="P1823" s="35">
        <f t="shared" ref="P1823:P1886" si="157">IFERROR(IF(ISNUMBER(N1822),N1822,$E$20)*3%/IF(MOD(YEAR(L1823),4),365,366)*IF(ISBLANK(L1822),(L1823-$E$22),L1823-L1822),0)</f>
        <v>0.20547945205479451</v>
      </c>
    </row>
    <row r="1824" spans="12:16" ht="15" hidden="1" customHeight="1">
      <c r="L1824" s="43">
        <f t="shared" si="153"/>
        <v>46325</v>
      </c>
      <c r="M1824" s="35">
        <f t="shared" si="154"/>
        <v>0</v>
      </c>
      <c r="N1824" s="35">
        <f t="shared" si="155"/>
        <v>2500</v>
      </c>
      <c r="O1824" s="35">
        <f t="shared" si="156"/>
        <v>0.10273972602739725</v>
      </c>
      <c r="P1824" s="35">
        <f t="shared" si="157"/>
        <v>0.20547945205479451</v>
      </c>
    </row>
    <row r="1825" spans="12:16" ht="15" hidden="1" customHeight="1">
      <c r="L1825" s="43">
        <f t="shared" si="153"/>
        <v>46326</v>
      </c>
      <c r="M1825" s="35">
        <f t="shared" si="154"/>
        <v>0</v>
      </c>
      <c r="N1825" s="35">
        <f t="shared" si="155"/>
        <v>2500</v>
      </c>
      <c r="O1825" s="35">
        <f t="shared" si="156"/>
        <v>0.10273972602739725</v>
      </c>
      <c r="P1825" s="35">
        <f t="shared" si="157"/>
        <v>0.20547945205479451</v>
      </c>
    </row>
    <row r="1826" spans="12:16" ht="15" hidden="1" customHeight="1">
      <c r="L1826" s="43">
        <f t="shared" si="153"/>
        <v>46327</v>
      </c>
      <c r="M1826" s="35">
        <f t="shared" si="154"/>
        <v>0</v>
      </c>
      <c r="N1826" s="35">
        <f t="shared" si="155"/>
        <v>2500</v>
      </c>
      <c r="O1826" s="35">
        <f t="shared" si="156"/>
        <v>0.10273972602739725</v>
      </c>
      <c r="P1826" s="35">
        <f t="shared" si="157"/>
        <v>0.20547945205479451</v>
      </c>
    </row>
    <row r="1827" spans="12:16" ht="15" hidden="1" customHeight="1">
      <c r="L1827" s="43">
        <f t="shared" si="153"/>
        <v>46328</v>
      </c>
      <c r="M1827" s="35">
        <f t="shared" si="154"/>
        <v>0</v>
      </c>
      <c r="N1827" s="35">
        <f t="shared" si="155"/>
        <v>2500</v>
      </c>
      <c r="O1827" s="35">
        <f t="shared" si="156"/>
        <v>0.10273972602739725</v>
      </c>
      <c r="P1827" s="35">
        <f t="shared" si="157"/>
        <v>0.20547945205479451</v>
      </c>
    </row>
    <row r="1828" spans="12:16" ht="15" hidden="1" customHeight="1">
      <c r="L1828" s="43">
        <f t="shared" si="153"/>
        <v>46329</v>
      </c>
      <c r="M1828" s="35">
        <f t="shared" si="154"/>
        <v>0</v>
      </c>
      <c r="N1828" s="35">
        <f t="shared" si="155"/>
        <v>2500</v>
      </c>
      <c r="O1828" s="35">
        <f t="shared" si="156"/>
        <v>0.10273972602739725</v>
      </c>
      <c r="P1828" s="35">
        <f t="shared" si="157"/>
        <v>0.20547945205479451</v>
      </c>
    </row>
    <row r="1829" spans="12:16" ht="15" hidden="1" customHeight="1">
      <c r="L1829" s="43">
        <f t="shared" si="153"/>
        <v>46330</v>
      </c>
      <c r="M1829" s="35">
        <f t="shared" si="154"/>
        <v>0</v>
      </c>
      <c r="N1829" s="35">
        <f t="shared" si="155"/>
        <v>2500</v>
      </c>
      <c r="O1829" s="35">
        <f t="shared" si="156"/>
        <v>0.10273972602739725</v>
      </c>
      <c r="P1829" s="35">
        <f t="shared" si="157"/>
        <v>0.20547945205479451</v>
      </c>
    </row>
    <row r="1830" spans="12:16" ht="15" hidden="1" customHeight="1">
      <c r="L1830" s="43">
        <f t="shared" si="153"/>
        <v>46331</v>
      </c>
      <c r="M1830" s="35">
        <f t="shared" si="154"/>
        <v>0</v>
      </c>
      <c r="N1830" s="35">
        <f t="shared" si="155"/>
        <v>2500</v>
      </c>
      <c r="O1830" s="35">
        <f t="shared" si="156"/>
        <v>0.10273972602739725</v>
      </c>
      <c r="P1830" s="35">
        <f t="shared" si="157"/>
        <v>0.20547945205479451</v>
      </c>
    </row>
    <row r="1831" spans="12:16" ht="15" hidden="1" customHeight="1">
      <c r="L1831" s="43">
        <f t="shared" si="153"/>
        <v>46332</v>
      </c>
      <c r="M1831" s="35">
        <f t="shared" si="154"/>
        <v>0</v>
      </c>
      <c r="N1831" s="35">
        <f t="shared" si="155"/>
        <v>2500</v>
      </c>
      <c r="O1831" s="35">
        <f t="shared" si="156"/>
        <v>0.10273972602739725</v>
      </c>
      <c r="P1831" s="35">
        <f t="shared" si="157"/>
        <v>0.20547945205479451</v>
      </c>
    </row>
    <row r="1832" spans="12:16" ht="15" hidden="1" customHeight="1">
      <c r="L1832" s="43">
        <f t="shared" si="153"/>
        <v>46333</v>
      </c>
      <c r="M1832" s="35">
        <f t="shared" si="154"/>
        <v>0</v>
      </c>
      <c r="N1832" s="35">
        <f t="shared" si="155"/>
        <v>2500</v>
      </c>
      <c r="O1832" s="35">
        <f t="shared" si="156"/>
        <v>0.10273972602739725</v>
      </c>
      <c r="P1832" s="35">
        <f t="shared" si="157"/>
        <v>0.20547945205479451</v>
      </c>
    </row>
    <row r="1833" spans="12:16" ht="15" hidden="1" customHeight="1">
      <c r="L1833" s="43">
        <f t="shared" si="153"/>
        <v>46334</v>
      </c>
      <c r="M1833" s="35">
        <f t="shared" si="154"/>
        <v>0</v>
      </c>
      <c r="N1833" s="35">
        <f t="shared" si="155"/>
        <v>2500</v>
      </c>
      <c r="O1833" s="35">
        <f t="shared" si="156"/>
        <v>0.10273972602739725</v>
      </c>
      <c r="P1833" s="35">
        <f t="shared" si="157"/>
        <v>0.20547945205479451</v>
      </c>
    </row>
    <row r="1834" spans="12:16" ht="15" hidden="1" customHeight="1">
      <c r="L1834" s="43">
        <f t="shared" si="153"/>
        <v>46335</v>
      </c>
      <c r="M1834" s="35">
        <f t="shared" si="154"/>
        <v>0</v>
      </c>
      <c r="N1834" s="35">
        <f t="shared" si="155"/>
        <v>2500</v>
      </c>
      <c r="O1834" s="35">
        <f t="shared" si="156"/>
        <v>0.10273972602739725</v>
      </c>
      <c r="P1834" s="35">
        <f t="shared" si="157"/>
        <v>0.20547945205479451</v>
      </c>
    </row>
    <row r="1835" spans="12:16" ht="15" hidden="1" customHeight="1">
      <c r="L1835" s="43">
        <f t="shared" si="153"/>
        <v>46336</v>
      </c>
      <c r="M1835" s="35">
        <f t="shared" si="154"/>
        <v>0</v>
      </c>
      <c r="N1835" s="35">
        <f t="shared" si="155"/>
        <v>2500</v>
      </c>
      <c r="O1835" s="35">
        <f t="shared" si="156"/>
        <v>0.10273972602739725</v>
      </c>
      <c r="P1835" s="35">
        <f t="shared" si="157"/>
        <v>0.20547945205479451</v>
      </c>
    </row>
    <row r="1836" spans="12:16" ht="15" hidden="1" customHeight="1">
      <c r="L1836" s="43">
        <f t="shared" si="153"/>
        <v>46337</v>
      </c>
      <c r="M1836" s="35">
        <f t="shared" si="154"/>
        <v>0</v>
      </c>
      <c r="N1836" s="35">
        <f t="shared" si="155"/>
        <v>2500</v>
      </c>
      <c r="O1836" s="35">
        <f t="shared" si="156"/>
        <v>0.10273972602739725</v>
      </c>
      <c r="P1836" s="35">
        <f t="shared" si="157"/>
        <v>0.20547945205479451</v>
      </c>
    </row>
    <row r="1837" spans="12:16" ht="15" hidden="1" customHeight="1">
      <c r="L1837" s="43">
        <f t="shared" si="153"/>
        <v>46338</v>
      </c>
      <c r="M1837" s="35">
        <f t="shared" si="154"/>
        <v>0</v>
      </c>
      <c r="N1837" s="35">
        <f t="shared" si="155"/>
        <v>2500</v>
      </c>
      <c r="O1837" s="35">
        <f t="shared" si="156"/>
        <v>0.10273972602739725</v>
      </c>
      <c r="P1837" s="35">
        <f t="shared" si="157"/>
        <v>0.20547945205479451</v>
      </c>
    </row>
    <row r="1838" spans="12:16" ht="15" hidden="1" customHeight="1">
      <c r="L1838" s="43">
        <f t="shared" si="153"/>
        <v>46339</v>
      </c>
      <c r="M1838" s="35">
        <f t="shared" si="154"/>
        <v>0</v>
      </c>
      <c r="N1838" s="35">
        <f t="shared" si="155"/>
        <v>2500</v>
      </c>
      <c r="O1838" s="35">
        <f t="shared" si="156"/>
        <v>0.10273972602739725</v>
      </c>
      <c r="P1838" s="35">
        <f t="shared" si="157"/>
        <v>0.20547945205479451</v>
      </c>
    </row>
    <row r="1839" spans="12:16" ht="15" hidden="1" customHeight="1">
      <c r="L1839" s="43">
        <f t="shared" si="153"/>
        <v>46340</v>
      </c>
      <c r="M1839" s="35">
        <f t="shared" si="154"/>
        <v>0</v>
      </c>
      <c r="N1839" s="35">
        <f t="shared" si="155"/>
        <v>2500</v>
      </c>
      <c r="O1839" s="35">
        <f t="shared" si="156"/>
        <v>0.10273972602739725</v>
      </c>
      <c r="P1839" s="35">
        <f t="shared" si="157"/>
        <v>0.20547945205479451</v>
      </c>
    </row>
    <row r="1840" spans="12:16" ht="15" hidden="1" customHeight="1">
      <c r="L1840" s="43">
        <f t="shared" si="153"/>
        <v>46341</v>
      </c>
      <c r="M1840" s="35">
        <f t="shared" si="154"/>
        <v>0</v>
      </c>
      <c r="N1840" s="35">
        <f t="shared" si="155"/>
        <v>2500</v>
      </c>
      <c r="O1840" s="35">
        <f t="shared" si="156"/>
        <v>0.10273972602739725</v>
      </c>
      <c r="P1840" s="35">
        <f t="shared" si="157"/>
        <v>0.20547945205479451</v>
      </c>
    </row>
    <row r="1841" spans="12:16" ht="15" hidden="1" customHeight="1">
      <c r="L1841" s="43">
        <f t="shared" si="153"/>
        <v>46342</v>
      </c>
      <c r="M1841" s="35">
        <f t="shared" si="154"/>
        <v>0</v>
      </c>
      <c r="N1841" s="35">
        <f t="shared" si="155"/>
        <v>2500</v>
      </c>
      <c r="O1841" s="35">
        <f t="shared" si="156"/>
        <v>0.10273972602739725</v>
      </c>
      <c r="P1841" s="35">
        <f t="shared" si="157"/>
        <v>0.20547945205479451</v>
      </c>
    </row>
    <row r="1842" spans="12:16" ht="15" hidden="1" customHeight="1">
      <c r="L1842" s="43">
        <f t="shared" si="153"/>
        <v>46343</v>
      </c>
      <c r="M1842" s="35">
        <f t="shared" si="154"/>
        <v>0</v>
      </c>
      <c r="N1842" s="35">
        <f t="shared" si="155"/>
        <v>2500</v>
      </c>
      <c r="O1842" s="35">
        <f t="shared" si="156"/>
        <v>0.10273972602739725</v>
      </c>
      <c r="P1842" s="35">
        <f t="shared" si="157"/>
        <v>0.20547945205479451</v>
      </c>
    </row>
    <row r="1843" spans="12:16" ht="15" hidden="1" customHeight="1">
      <c r="L1843" s="43">
        <f t="shared" si="153"/>
        <v>46344</v>
      </c>
      <c r="M1843" s="35">
        <f t="shared" si="154"/>
        <v>0</v>
      </c>
      <c r="N1843" s="35">
        <f t="shared" si="155"/>
        <v>2500</v>
      </c>
      <c r="O1843" s="35">
        <f t="shared" si="156"/>
        <v>0.10273972602739725</v>
      </c>
      <c r="P1843" s="35">
        <f t="shared" si="157"/>
        <v>0.20547945205479451</v>
      </c>
    </row>
    <row r="1844" spans="12:16" ht="15" hidden="1" customHeight="1">
      <c r="L1844" s="43">
        <f t="shared" si="153"/>
        <v>46345</v>
      </c>
      <c r="M1844" s="35">
        <f t="shared" si="154"/>
        <v>0</v>
      </c>
      <c r="N1844" s="35">
        <f t="shared" si="155"/>
        <v>2500</v>
      </c>
      <c r="O1844" s="35">
        <f t="shared" si="156"/>
        <v>0.10273972602739725</v>
      </c>
      <c r="P1844" s="35">
        <f t="shared" si="157"/>
        <v>0.20547945205479451</v>
      </c>
    </row>
    <row r="1845" spans="12:16" ht="15" hidden="1" customHeight="1">
      <c r="L1845" s="43">
        <f t="shared" si="153"/>
        <v>46346</v>
      </c>
      <c r="M1845" s="35">
        <f t="shared" si="154"/>
        <v>0</v>
      </c>
      <c r="N1845" s="35">
        <f t="shared" si="155"/>
        <v>2500</v>
      </c>
      <c r="O1845" s="35">
        <f t="shared" si="156"/>
        <v>0.10273972602739725</v>
      </c>
      <c r="P1845" s="35">
        <f t="shared" si="157"/>
        <v>0.20547945205479451</v>
      </c>
    </row>
    <row r="1846" spans="12:16" ht="15" hidden="1" customHeight="1">
      <c r="L1846" s="43">
        <f t="shared" si="153"/>
        <v>46347</v>
      </c>
      <c r="M1846" s="35">
        <f t="shared" si="154"/>
        <v>0</v>
      </c>
      <c r="N1846" s="35">
        <f t="shared" si="155"/>
        <v>2500</v>
      </c>
      <c r="O1846" s="35">
        <f t="shared" si="156"/>
        <v>0.10273972602739725</v>
      </c>
      <c r="P1846" s="35">
        <f t="shared" si="157"/>
        <v>0.20547945205479451</v>
      </c>
    </row>
    <row r="1847" spans="12:16" ht="15" hidden="1" customHeight="1">
      <c r="L1847" s="43">
        <f t="shared" si="153"/>
        <v>46348</v>
      </c>
      <c r="M1847" s="35">
        <f t="shared" si="154"/>
        <v>0</v>
      </c>
      <c r="N1847" s="35">
        <f t="shared" si="155"/>
        <v>2500</v>
      </c>
      <c r="O1847" s="35">
        <f t="shared" si="156"/>
        <v>0.10273972602739725</v>
      </c>
      <c r="P1847" s="35">
        <f t="shared" si="157"/>
        <v>0.20547945205479451</v>
      </c>
    </row>
    <row r="1848" spans="12:16" ht="15" hidden="1" customHeight="1">
      <c r="L1848" s="43">
        <f t="shared" si="153"/>
        <v>46349</v>
      </c>
      <c r="M1848" s="35">
        <f t="shared" si="154"/>
        <v>0</v>
      </c>
      <c r="N1848" s="35">
        <f t="shared" si="155"/>
        <v>2500</v>
      </c>
      <c r="O1848" s="35">
        <f t="shared" si="156"/>
        <v>0.10273972602739725</v>
      </c>
      <c r="P1848" s="35">
        <f t="shared" si="157"/>
        <v>0.20547945205479451</v>
      </c>
    </row>
    <row r="1849" spans="12:16" ht="15" hidden="1" customHeight="1">
      <c r="L1849" s="43">
        <f t="shared" si="153"/>
        <v>46350</v>
      </c>
      <c r="M1849" s="35">
        <f t="shared" si="154"/>
        <v>0</v>
      </c>
      <c r="N1849" s="35">
        <f t="shared" si="155"/>
        <v>2500</v>
      </c>
      <c r="O1849" s="35">
        <f t="shared" si="156"/>
        <v>0.10273972602739725</v>
      </c>
      <c r="P1849" s="35">
        <f t="shared" si="157"/>
        <v>0.20547945205479451</v>
      </c>
    </row>
    <row r="1850" spans="12:16" ht="15" hidden="1" customHeight="1">
      <c r="L1850" s="43">
        <f t="shared" si="153"/>
        <v>46351</v>
      </c>
      <c r="M1850" s="35">
        <f t="shared" si="154"/>
        <v>0</v>
      </c>
      <c r="N1850" s="35">
        <f t="shared" si="155"/>
        <v>2500</v>
      </c>
      <c r="O1850" s="35">
        <f t="shared" si="156"/>
        <v>0.10273972602739725</v>
      </c>
      <c r="P1850" s="35">
        <f t="shared" si="157"/>
        <v>0.20547945205479451</v>
      </c>
    </row>
    <row r="1851" spans="12:16" ht="15" hidden="1" customHeight="1">
      <c r="L1851" s="43">
        <f t="shared" si="153"/>
        <v>46352</v>
      </c>
      <c r="M1851" s="35">
        <f t="shared" si="154"/>
        <v>0</v>
      </c>
      <c r="N1851" s="35">
        <f t="shared" si="155"/>
        <v>2500</v>
      </c>
      <c r="O1851" s="35">
        <f t="shared" si="156"/>
        <v>0.10273972602739725</v>
      </c>
      <c r="P1851" s="35">
        <f t="shared" si="157"/>
        <v>0.20547945205479451</v>
      </c>
    </row>
    <row r="1852" spans="12:16" ht="15" hidden="1" customHeight="1">
      <c r="L1852" s="43">
        <f t="shared" si="153"/>
        <v>46353</v>
      </c>
      <c r="M1852" s="35">
        <f t="shared" si="154"/>
        <v>0</v>
      </c>
      <c r="N1852" s="35">
        <f t="shared" si="155"/>
        <v>2500</v>
      </c>
      <c r="O1852" s="35">
        <f t="shared" si="156"/>
        <v>0.10273972602739725</v>
      </c>
      <c r="P1852" s="35">
        <f t="shared" si="157"/>
        <v>0.20547945205479451</v>
      </c>
    </row>
    <row r="1853" spans="12:16" ht="15" hidden="1" customHeight="1">
      <c r="L1853" s="43">
        <f t="shared" si="153"/>
        <v>46354</v>
      </c>
      <c r="M1853" s="35">
        <f t="shared" si="154"/>
        <v>0</v>
      </c>
      <c r="N1853" s="35">
        <f t="shared" si="155"/>
        <v>2500</v>
      </c>
      <c r="O1853" s="35">
        <f t="shared" si="156"/>
        <v>0.10273972602739725</v>
      </c>
      <c r="P1853" s="35">
        <f t="shared" si="157"/>
        <v>0.20547945205479451</v>
      </c>
    </row>
    <row r="1854" spans="12:16" ht="15" hidden="1" customHeight="1">
      <c r="L1854" s="43">
        <f t="shared" si="153"/>
        <v>46355</v>
      </c>
      <c r="M1854" s="35">
        <f t="shared" si="154"/>
        <v>0</v>
      </c>
      <c r="N1854" s="35">
        <f t="shared" si="155"/>
        <v>2500</v>
      </c>
      <c r="O1854" s="35">
        <f t="shared" si="156"/>
        <v>0.10273972602739725</v>
      </c>
      <c r="P1854" s="35">
        <f t="shared" si="157"/>
        <v>0.20547945205479451</v>
      </c>
    </row>
    <row r="1855" spans="12:16" ht="15" hidden="1" customHeight="1">
      <c r="L1855" s="43">
        <f t="shared" si="153"/>
        <v>46356</v>
      </c>
      <c r="M1855" s="35">
        <f t="shared" si="154"/>
        <v>0</v>
      </c>
      <c r="N1855" s="35">
        <f t="shared" si="155"/>
        <v>2500</v>
      </c>
      <c r="O1855" s="35">
        <f t="shared" si="156"/>
        <v>0.10273972602739725</v>
      </c>
      <c r="P1855" s="35">
        <f t="shared" si="157"/>
        <v>0.20547945205479451</v>
      </c>
    </row>
    <row r="1856" spans="12:16" ht="15" hidden="1" customHeight="1">
      <c r="L1856" s="43">
        <f t="shared" si="153"/>
        <v>46357</v>
      </c>
      <c r="M1856" s="35">
        <f t="shared" si="154"/>
        <v>2500</v>
      </c>
      <c r="N1856" s="35">
        <f t="shared" si="155"/>
        <v>0</v>
      </c>
      <c r="O1856" s="35">
        <f t="shared" si="156"/>
        <v>0.10273972602739725</v>
      </c>
      <c r="P1856" s="35">
        <f t="shared" si="157"/>
        <v>0.20547945205479451</v>
      </c>
    </row>
    <row r="1857" spans="12:16" ht="15" hidden="1" customHeight="1">
      <c r="L1857" s="43" t="str">
        <f t="shared" si="153"/>
        <v>-</v>
      </c>
      <c r="M1857" s="35">
        <f t="shared" si="154"/>
        <v>0</v>
      </c>
      <c r="N1857" s="35">
        <f t="shared" si="155"/>
        <v>0</v>
      </c>
      <c r="O1857" s="35">
        <f t="shared" si="156"/>
        <v>0</v>
      </c>
      <c r="P1857" s="35">
        <f t="shared" si="157"/>
        <v>0</v>
      </c>
    </row>
    <row r="1858" spans="12:16" ht="15" hidden="1" customHeight="1">
      <c r="L1858" s="43" t="str">
        <f t="shared" si="153"/>
        <v>-</v>
      </c>
      <c r="M1858" s="35">
        <f t="shared" si="154"/>
        <v>0</v>
      </c>
      <c r="N1858" s="35">
        <f t="shared" si="155"/>
        <v>0</v>
      </c>
      <c r="O1858" s="35">
        <f t="shared" si="156"/>
        <v>0</v>
      </c>
      <c r="P1858" s="35">
        <f t="shared" si="157"/>
        <v>0</v>
      </c>
    </row>
    <row r="1859" spans="12:16" ht="15" hidden="1" customHeight="1">
      <c r="L1859" s="43" t="str">
        <f t="shared" si="153"/>
        <v>-</v>
      </c>
      <c r="M1859" s="35">
        <f t="shared" si="154"/>
        <v>0</v>
      </c>
      <c r="N1859" s="35">
        <f t="shared" si="155"/>
        <v>0</v>
      </c>
      <c r="O1859" s="35">
        <f t="shared" si="156"/>
        <v>0</v>
      </c>
      <c r="P1859" s="35">
        <f t="shared" si="157"/>
        <v>0</v>
      </c>
    </row>
    <row r="1860" spans="12:16" ht="15" hidden="1" customHeight="1">
      <c r="L1860" s="43" t="str">
        <f t="shared" si="153"/>
        <v>-</v>
      </c>
      <c r="M1860" s="35">
        <f t="shared" si="154"/>
        <v>0</v>
      </c>
      <c r="N1860" s="35">
        <f t="shared" si="155"/>
        <v>0</v>
      </c>
      <c r="O1860" s="35">
        <f t="shared" si="156"/>
        <v>0</v>
      </c>
      <c r="P1860" s="35">
        <f t="shared" si="157"/>
        <v>0</v>
      </c>
    </row>
    <row r="1861" spans="12:16" ht="15" hidden="1" customHeight="1">
      <c r="L1861" s="43" t="str">
        <f t="shared" si="153"/>
        <v>-</v>
      </c>
      <c r="M1861" s="35">
        <f t="shared" si="154"/>
        <v>0</v>
      </c>
      <c r="N1861" s="35">
        <f t="shared" si="155"/>
        <v>0</v>
      </c>
      <c r="O1861" s="35">
        <f t="shared" si="156"/>
        <v>0</v>
      </c>
      <c r="P1861" s="35">
        <f t="shared" si="157"/>
        <v>0</v>
      </c>
    </row>
    <row r="1862" spans="12:16" ht="15" hidden="1" customHeight="1">
      <c r="L1862" s="43" t="str">
        <f t="shared" si="153"/>
        <v>-</v>
      </c>
      <c r="M1862" s="35">
        <f t="shared" si="154"/>
        <v>0</v>
      </c>
      <c r="N1862" s="35">
        <f t="shared" si="155"/>
        <v>0</v>
      </c>
      <c r="O1862" s="35">
        <f t="shared" si="156"/>
        <v>0</v>
      </c>
      <c r="P1862" s="35">
        <f t="shared" si="157"/>
        <v>0</v>
      </c>
    </row>
    <row r="1863" spans="12:16" ht="15" hidden="1" customHeight="1">
      <c r="L1863" s="43" t="str">
        <f t="shared" si="153"/>
        <v>-</v>
      </c>
      <c r="M1863" s="35">
        <f t="shared" si="154"/>
        <v>0</v>
      </c>
      <c r="N1863" s="35">
        <f t="shared" si="155"/>
        <v>0</v>
      </c>
      <c r="O1863" s="35">
        <f t="shared" si="156"/>
        <v>0</v>
      </c>
      <c r="P1863" s="35">
        <f t="shared" si="157"/>
        <v>0</v>
      </c>
    </row>
    <row r="1864" spans="12:16" ht="15" hidden="1" customHeight="1">
      <c r="L1864" s="43" t="str">
        <f t="shared" si="153"/>
        <v>-</v>
      </c>
      <c r="M1864" s="35">
        <f t="shared" si="154"/>
        <v>0</v>
      </c>
      <c r="N1864" s="35">
        <f t="shared" si="155"/>
        <v>0</v>
      </c>
      <c r="O1864" s="35">
        <f t="shared" si="156"/>
        <v>0</v>
      </c>
      <c r="P1864" s="35">
        <f t="shared" si="157"/>
        <v>0</v>
      </c>
    </row>
    <row r="1865" spans="12:16" ht="15" hidden="1" customHeight="1">
      <c r="L1865" s="43" t="str">
        <f t="shared" si="153"/>
        <v>-</v>
      </c>
      <c r="M1865" s="35">
        <f t="shared" si="154"/>
        <v>0</v>
      </c>
      <c r="N1865" s="35">
        <f t="shared" si="155"/>
        <v>0</v>
      </c>
      <c r="O1865" s="35">
        <f t="shared" si="156"/>
        <v>0</v>
      </c>
      <c r="P1865" s="35">
        <f t="shared" si="157"/>
        <v>0</v>
      </c>
    </row>
    <row r="1866" spans="12:16" ht="15" hidden="1" customHeight="1">
      <c r="L1866" s="43" t="str">
        <f t="shared" si="153"/>
        <v>-</v>
      </c>
      <c r="M1866" s="35">
        <f t="shared" si="154"/>
        <v>0</v>
      </c>
      <c r="N1866" s="35">
        <f t="shared" si="155"/>
        <v>0</v>
      </c>
      <c r="O1866" s="35">
        <f t="shared" si="156"/>
        <v>0</v>
      </c>
      <c r="P1866" s="35">
        <f t="shared" si="157"/>
        <v>0</v>
      </c>
    </row>
    <row r="1867" spans="12:16" ht="15" hidden="1" customHeight="1">
      <c r="L1867" s="43" t="str">
        <f t="shared" si="153"/>
        <v>-</v>
      </c>
      <c r="M1867" s="35">
        <f t="shared" si="154"/>
        <v>0</v>
      </c>
      <c r="N1867" s="35">
        <f t="shared" si="155"/>
        <v>0</v>
      </c>
      <c r="O1867" s="35">
        <f t="shared" si="156"/>
        <v>0</v>
      </c>
      <c r="P1867" s="35">
        <f t="shared" si="157"/>
        <v>0</v>
      </c>
    </row>
    <row r="1868" spans="12:16" ht="15" hidden="1" customHeight="1">
      <c r="L1868" s="43" t="str">
        <f t="shared" si="153"/>
        <v>-</v>
      </c>
      <c r="M1868" s="35">
        <f t="shared" si="154"/>
        <v>0</v>
      </c>
      <c r="N1868" s="35">
        <f t="shared" si="155"/>
        <v>0</v>
      </c>
      <c r="O1868" s="35">
        <f t="shared" si="156"/>
        <v>0</v>
      </c>
      <c r="P1868" s="35">
        <f t="shared" si="157"/>
        <v>0</v>
      </c>
    </row>
    <row r="1869" spans="12:16" ht="15" hidden="1" customHeight="1">
      <c r="L1869" s="43" t="str">
        <f t="shared" si="153"/>
        <v>-</v>
      </c>
      <c r="M1869" s="35">
        <f t="shared" si="154"/>
        <v>0</v>
      </c>
      <c r="N1869" s="35">
        <f t="shared" si="155"/>
        <v>0</v>
      </c>
      <c r="O1869" s="35">
        <f t="shared" si="156"/>
        <v>0</v>
      </c>
      <c r="P1869" s="35">
        <f t="shared" si="157"/>
        <v>0</v>
      </c>
    </row>
    <row r="1870" spans="12:16" ht="15" hidden="1" customHeight="1">
      <c r="L1870" s="43" t="str">
        <f t="shared" si="153"/>
        <v>-</v>
      </c>
      <c r="M1870" s="35">
        <f t="shared" si="154"/>
        <v>0</v>
      </c>
      <c r="N1870" s="35">
        <f t="shared" si="155"/>
        <v>0</v>
      </c>
      <c r="O1870" s="35">
        <f t="shared" si="156"/>
        <v>0</v>
      </c>
      <c r="P1870" s="35">
        <f t="shared" si="157"/>
        <v>0</v>
      </c>
    </row>
    <row r="1871" spans="12:16" ht="15" hidden="1" customHeight="1">
      <c r="L1871" s="43" t="str">
        <f t="shared" si="153"/>
        <v>-</v>
      </c>
      <c r="M1871" s="35">
        <f t="shared" si="154"/>
        <v>0</v>
      </c>
      <c r="N1871" s="35">
        <f t="shared" si="155"/>
        <v>0</v>
      </c>
      <c r="O1871" s="35">
        <f t="shared" si="156"/>
        <v>0</v>
      </c>
      <c r="P1871" s="35">
        <f t="shared" si="157"/>
        <v>0</v>
      </c>
    </row>
    <row r="1872" spans="12:16" ht="15" hidden="1" customHeight="1">
      <c r="L1872" s="43" t="str">
        <f t="shared" si="153"/>
        <v>-</v>
      </c>
      <c r="M1872" s="35">
        <f t="shared" si="154"/>
        <v>0</v>
      </c>
      <c r="N1872" s="35">
        <f t="shared" si="155"/>
        <v>0</v>
      </c>
      <c r="O1872" s="35">
        <f t="shared" si="156"/>
        <v>0</v>
      </c>
      <c r="P1872" s="35">
        <f t="shared" si="157"/>
        <v>0</v>
      </c>
    </row>
    <row r="1873" spans="12:16" ht="15" hidden="1" customHeight="1">
      <c r="L1873" s="43" t="str">
        <f t="shared" si="153"/>
        <v>-</v>
      </c>
      <c r="M1873" s="35">
        <f t="shared" si="154"/>
        <v>0</v>
      </c>
      <c r="N1873" s="35">
        <f t="shared" si="155"/>
        <v>0</v>
      </c>
      <c r="O1873" s="35">
        <f t="shared" si="156"/>
        <v>0</v>
      </c>
      <c r="P1873" s="35">
        <f t="shared" si="157"/>
        <v>0</v>
      </c>
    </row>
    <row r="1874" spans="12:16" ht="15" hidden="1" customHeight="1">
      <c r="L1874" s="43" t="str">
        <f t="shared" si="153"/>
        <v>-</v>
      </c>
      <c r="M1874" s="35">
        <f t="shared" si="154"/>
        <v>0</v>
      </c>
      <c r="N1874" s="35">
        <f t="shared" si="155"/>
        <v>0</v>
      </c>
      <c r="O1874" s="35">
        <f t="shared" si="156"/>
        <v>0</v>
      </c>
      <c r="P1874" s="35">
        <f t="shared" si="157"/>
        <v>0</v>
      </c>
    </row>
    <row r="1875" spans="12:16" ht="15" hidden="1" customHeight="1">
      <c r="L1875" s="43" t="str">
        <f t="shared" si="153"/>
        <v>-</v>
      </c>
      <c r="M1875" s="35">
        <f t="shared" si="154"/>
        <v>0</v>
      </c>
      <c r="N1875" s="35">
        <f t="shared" si="155"/>
        <v>0</v>
      </c>
      <c r="O1875" s="35">
        <f t="shared" si="156"/>
        <v>0</v>
      </c>
      <c r="P1875" s="35">
        <f t="shared" si="157"/>
        <v>0</v>
      </c>
    </row>
    <row r="1876" spans="12:16" ht="15" hidden="1" customHeight="1">
      <c r="L1876" s="43" t="str">
        <f t="shared" si="153"/>
        <v>-</v>
      </c>
      <c r="M1876" s="35">
        <f t="shared" si="154"/>
        <v>0</v>
      </c>
      <c r="N1876" s="35">
        <f t="shared" si="155"/>
        <v>0</v>
      </c>
      <c r="O1876" s="35">
        <f t="shared" si="156"/>
        <v>0</v>
      </c>
      <c r="P1876" s="35">
        <f t="shared" si="157"/>
        <v>0</v>
      </c>
    </row>
    <row r="1877" spans="12:16" ht="15" hidden="1" customHeight="1">
      <c r="L1877" s="43" t="str">
        <f t="shared" si="153"/>
        <v>-</v>
      </c>
      <c r="M1877" s="35">
        <f t="shared" si="154"/>
        <v>0</v>
      </c>
      <c r="N1877" s="35">
        <f t="shared" si="155"/>
        <v>0</v>
      </c>
      <c r="O1877" s="35">
        <f t="shared" si="156"/>
        <v>0</v>
      </c>
      <c r="P1877" s="35">
        <f t="shared" si="157"/>
        <v>0</v>
      </c>
    </row>
    <row r="1878" spans="12:16" ht="15" hidden="1" customHeight="1">
      <c r="L1878" s="43" t="str">
        <f t="shared" si="153"/>
        <v>-</v>
      </c>
      <c r="M1878" s="35">
        <f t="shared" si="154"/>
        <v>0</v>
      </c>
      <c r="N1878" s="35">
        <f t="shared" si="155"/>
        <v>0</v>
      </c>
      <c r="O1878" s="35">
        <f t="shared" si="156"/>
        <v>0</v>
      </c>
      <c r="P1878" s="35">
        <f t="shared" si="157"/>
        <v>0</v>
      </c>
    </row>
    <row r="1879" spans="12:16" ht="15" hidden="1" customHeight="1">
      <c r="L1879" s="43" t="str">
        <f t="shared" si="153"/>
        <v>-</v>
      </c>
      <c r="M1879" s="35">
        <f t="shared" si="154"/>
        <v>0</v>
      </c>
      <c r="N1879" s="35">
        <f t="shared" si="155"/>
        <v>0</v>
      </c>
      <c r="O1879" s="35">
        <f t="shared" si="156"/>
        <v>0</v>
      </c>
      <c r="P1879" s="35">
        <f t="shared" si="157"/>
        <v>0</v>
      </c>
    </row>
    <row r="1880" spans="12:16" ht="15" hidden="1" customHeight="1">
      <c r="L1880" s="43" t="str">
        <f t="shared" si="153"/>
        <v>-</v>
      </c>
      <c r="M1880" s="35">
        <f t="shared" si="154"/>
        <v>0</v>
      </c>
      <c r="N1880" s="35">
        <f t="shared" si="155"/>
        <v>0</v>
      </c>
      <c r="O1880" s="35">
        <f t="shared" si="156"/>
        <v>0</v>
      </c>
      <c r="P1880" s="35">
        <f t="shared" si="157"/>
        <v>0</v>
      </c>
    </row>
    <row r="1881" spans="12:16" ht="15" hidden="1" customHeight="1">
      <c r="L1881" s="43" t="str">
        <f t="shared" si="153"/>
        <v>-</v>
      </c>
      <c r="M1881" s="35">
        <f t="shared" si="154"/>
        <v>0</v>
      </c>
      <c r="N1881" s="35">
        <f t="shared" si="155"/>
        <v>0</v>
      </c>
      <c r="O1881" s="35">
        <f t="shared" si="156"/>
        <v>0</v>
      </c>
      <c r="P1881" s="35">
        <f t="shared" si="157"/>
        <v>0</v>
      </c>
    </row>
    <row r="1882" spans="12:16" ht="15" hidden="1" customHeight="1">
      <c r="L1882" s="43" t="str">
        <f t="shared" si="153"/>
        <v>-</v>
      </c>
      <c r="M1882" s="35">
        <f t="shared" si="154"/>
        <v>0</v>
      </c>
      <c r="N1882" s="35">
        <f t="shared" si="155"/>
        <v>0</v>
      </c>
      <c r="O1882" s="35">
        <f t="shared" si="156"/>
        <v>0</v>
      </c>
      <c r="P1882" s="35">
        <f t="shared" si="157"/>
        <v>0</v>
      </c>
    </row>
    <row r="1883" spans="12:16" ht="15" hidden="1" customHeight="1">
      <c r="L1883" s="43" t="str">
        <f t="shared" si="153"/>
        <v>-</v>
      </c>
      <c r="M1883" s="35">
        <f t="shared" si="154"/>
        <v>0</v>
      </c>
      <c r="N1883" s="35">
        <f t="shared" si="155"/>
        <v>0</v>
      </c>
      <c r="O1883" s="35">
        <f t="shared" si="156"/>
        <v>0</v>
      </c>
      <c r="P1883" s="35">
        <f t="shared" si="157"/>
        <v>0</v>
      </c>
    </row>
    <row r="1884" spans="12:16" ht="15" hidden="1" customHeight="1">
      <c r="L1884" s="43" t="str">
        <f t="shared" si="153"/>
        <v>-</v>
      </c>
      <c r="M1884" s="35">
        <f t="shared" si="154"/>
        <v>0</v>
      </c>
      <c r="N1884" s="35">
        <f t="shared" si="155"/>
        <v>0</v>
      </c>
      <c r="O1884" s="35">
        <f t="shared" si="156"/>
        <v>0</v>
      </c>
      <c r="P1884" s="35">
        <f t="shared" si="157"/>
        <v>0</v>
      </c>
    </row>
    <row r="1885" spans="12:16" ht="15" hidden="1" customHeight="1">
      <c r="L1885" s="43" t="str">
        <f t="shared" si="153"/>
        <v>-</v>
      </c>
      <c r="M1885" s="35">
        <f t="shared" si="154"/>
        <v>0</v>
      </c>
      <c r="N1885" s="35">
        <f t="shared" si="155"/>
        <v>0</v>
      </c>
      <c r="O1885" s="35">
        <f t="shared" si="156"/>
        <v>0</v>
      </c>
      <c r="P1885" s="35">
        <f t="shared" si="157"/>
        <v>0</v>
      </c>
    </row>
    <row r="1886" spans="12:16" ht="15" hidden="1" customHeight="1">
      <c r="L1886" s="43" t="str">
        <f t="shared" si="153"/>
        <v>-</v>
      </c>
      <c r="M1886" s="35">
        <f t="shared" si="154"/>
        <v>0</v>
      </c>
      <c r="N1886" s="35">
        <f t="shared" si="155"/>
        <v>0</v>
      </c>
      <c r="O1886" s="35">
        <f t="shared" si="156"/>
        <v>0</v>
      </c>
      <c r="P1886" s="35">
        <f t="shared" si="157"/>
        <v>0</v>
      </c>
    </row>
    <row r="1887" spans="12:16" ht="15" hidden="1" customHeight="1">
      <c r="L1887" s="43" t="str">
        <f t="shared" ref="L1887:L1950" si="158">IFERROR(IF(MAX(L1886+1,Дата_получения_Займа+1)&gt;Дата_погашения_Займа,"-",MAX(L1886+1,Дата_получения_Займа+1)),"-")</f>
        <v>-</v>
      </c>
      <c r="M1887" s="35">
        <f t="shared" ref="M1887:M1950" si="159">IFERROR(VLOOKUP(L1887,$B$31:$E$59,4,FALSE),0)</f>
        <v>0</v>
      </c>
      <c r="N1887" s="35">
        <f t="shared" ref="N1887:N1950" si="160">IF(ISNUMBER(N1886),N1886-M1887,$E$20)</f>
        <v>0</v>
      </c>
      <c r="O1887" s="35">
        <f t="shared" ref="O1887:O1950" si="161">IFERROR(IF(ISNUMBER(N1886),N1886,$E$20)*IF(L1887&gt;=$J$20,$E$25,$E$24)/IF(MOD(YEAR(L1887),4),365,366)*IF(ISBLANK(L1886),L1887-$E$22,L1887-L1886),0)</f>
        <v>0</v>
      </c>
      <c r="P1887" s="35">
        <f t="shared" ref="P1887:P1950" si="162">IFERROR(IF(ISNUMBER(N1886),N1886,$E$20)*3%/IF(MOD(YEAR(L1887),4),365,366)*IF(ISBLANK(L1886),(L1887-$E$22),L1887-L1886),0)</f>
        <v>0</v>
      </c>
    </row>
    <row r="1888" spans="12:16" ht="15" hidden="1" customHeight="1">
      <c r="L1888" s="43" t="str">
        <f t="shared" si="158"/>
        <v>-</v>
      </c>
      <c r="M1888" s="35">
        <f t="shared" si="159"/>
        <v>0</v>
      </c>
      <c r="N1888" s="35">
        <f t="shared" si="160"/>
        <v>0</v>
      </c>
      <c r="O1888" s="35">
        <f t="shared" si="161"/>
        <v>0</v>
      </c>
      <c r="P1888" s="35">
        <f t="shared" si="162"/>
        <v>0</v>
      </c>
    </row>
    <row r="1889" spans="12:16" ht="15" hidden="1" customHeight="1">
      <c r="L1889" s="43" t="str">
        <f t="shared" si="158"/>
        <v>-</v>
      </c>
      <c r="M1889" s="35">
        <f t="shared" si="159"/>
        <v>0</v>
      </c>
      <c r="N1889" s="35">
        <f t="shared" si="160"/>
        <v>0</v>
      </c>
      <c r="O1889" s="35">
        <f t="shared" si="161"/>
        <v>0</v>
      </c>
      <c r="P1889" s="35">
        <f t="shared" si="162"/>
        <v>0</v>
      </c>
    </row>
    <row r="1890" spans="12:16" ht="15" hidden="1" customHeight="1">
      <c r="L1890" s="43" t="str">
        <f t="shared" si="158"/>
        <v>-</v>
      </c>
      <c r="M1890" s="35">
        <f t="shared" si="159"/>
        <v>0</v>
      </c>
      <c r="N1890" s="35">
        <f t="shared" si="160"/>
        <v>0</v>
      </c>
      <c r="O1890" s="35">
        <f t="shared" si="161"/>
        <v>0</v>
      </c>
      <c r="P1890" s="35">
        <f t="shared" si="162"/>
        <v>0</v>
      </c>
    </row>
    <row r="1891" spans="12:16" ht="15" hidden="1" customHeight="1">
      <c r="L1891" s="43" t="str">
        <f t="shared" si="158"/>
        <v>-</v>
      </c>
      <c r="M1891" s="35">
        <f t="shared" si="159"/>
        <v>0</v>
      </c>
      <c r="N1891" s="35">
        <f t="shared" si="160"/>
        <v>0</v>
      </c>
      <c r="O1891" s="35">
        <f t="shared" si="161"/>
        <v>0</v>
      </c>
      <c r="P1891" s="35">
        <f t="shared" si="162"/>
        <v>0</v>
      </c>
    </row>
    <row r="1892" spans="12:16" ht="15" hidden="1" customHeight="1">
      <c r="L1892" s="43" t="str">
        <f t="shared" si="158"/>
        <v>-</v>
      </c>
      <c r="M1892" s="35">
        <f t="shared" si="159"/>
        <v>0</v>
      </c>
      <c r="N1892" s="35">
        <f t="shared" si="160"/>
        <v>0</v>
      </c>
      <c r="O1892" s="35">
        <f t="shared" si="161"/>
        <v>0</v>
      </c>
      <c r="P1892" s="35">
        <f t="shared" si="162"/>
        <v>0</v>
      </c>
    </row>
    <row r="1893" spans="12:16" ht="15" hidden="1" customHeight="1">
      <c r="L1893" s="43" t="str">
        <f t="shared" si="158"/>
        <v>-</v>
      </c>
      <c r="M1893" s="35">
        <f t="shared" si="159"/>
        <v>0</v>
      </c>
      <c r="N1893" s="35">
        <f t="shared" si="160"/>
        <v>0</v>
      </c>
      <c r="O1893" s="35">
        <f t="shared" si="161"/>
        <v>0</v>
      </c>
      <c r="P1893" s="35">
        <f t="shared" si="162"/>
        <v>0</v>
      </c>
    </row>
    <row r="1894" spans="12:16" ht="15" hidden="1" customHeight="1">
      <c r="L1894" s="43" t="str">
        <f t="shared" si="158"/>
        <v>-</v>
      </c>
      <c r="M1894" s="35">
        <f t="shared" si="159"/>
        <v>0</v>
      </c>
      <c r="N1894" s="35">
        <f t="shared" si="160"/>
        <v>0</v>
      </c>
      <c r="O1894" s="35">
        <f t="shared" si="161"/>
        <v>0</v>
      </c>
      <c r="P1894" s="35">
        <f t="shared" si="162"/>
        <v>0</v>
      </c>
    </row>
    <row r="1895" spans="12:16" ht="15" hidden="1" customHeight="1">
      <c r="L1895" s="43" t="str">
        <f t="shared" si="158"/>
        <v>-</v>
      </c>
      <c r="M1895" s="35">
        <f t="shared" si="159"/>
        <v>0</v>
      </c>
      <c r="N1895" s="35">
        <f t="shared" si="160"/>
        <v>0</v>
      </c>
      <c r="O1895" s="35">
        <f t="shared" si="161"/>
        <v>0</v>
      </c>
      <c r="P1895" s="35">
        <f t="shared" si="162"/>
        <v>0</v>
      </c>
    </row>
    <row r="1896" spans="12:16" ht="15" hidden="1" customHeight="1">
      <c r="L1896" s="43" t="str">
        <f t="shared" si="158"/>
        <v>-</v>
      </c>
      <c r="M1896" s="35">
        <f t="shared" si="159"/>
        <v>0</v>
      </c>
      <c r="N1896" s="35">
        <f t="shared" si="160"/>
        <v>0</v>
      </c>
      <c r="O1896" s="35">
        <f t="shared" si="161"/>
        <v>0</v>
      </c>
      <c r="P1896" s="35">
        <f t="shared" si="162"/>
        <v>0</v>
      </c>
    </row>
    <row r="1897" spans="12:16" ht="15" hidden="1" customHeight="1">
      <c r="L1897" s="43" t="str">
        <f t="shared" si="158"/>
        <v>-</v>
      </c>
      <c r="M1897" s="35">
        <f t="shared" si="159"/>
        <v>0</v>
      </c>
      <c r="N1897" s="35">
        <f t="shared" si="160"/>
        <v>0</v>
      </c>
      <c r="O1897" s="35">
        <f t="shared" si="161"/>
        <v>0</v>
      </c>
      <c r="P1897" s="35">
        <f t="shared" si="162"/>
        <v>0</v>
      </c>
    </row>
    <row r="1898" spans="12:16" ht="15" hidden="1" customHeight="1">
      <c r="L1898" s="43" t="str">
        <f t="shared" si="158"/>
        <v>-</v>
      </c>
      <c r="M1898" s="35">
        <f t="shared" si="159"/>
        <v>0</v>
      </c>
      <c r="N1898" s="35">
        <f t="shared" si="160"/>
        <v>0</v>
      </c>
      <c r="O1898" s="35">
        <f t="shared" si="161"/>
        <v>0</v>
      </c>
      <c r="P1898" s="35">
        <f t="shared" si="162"/>
        <v>0</v>
      </c>
    </row>
    <row r="1899" spans="12:16" ht="15" hidden="1" customHeight="1">
      <c r="L1899" s="43" t="str">
        <f t="shared" si="158"/>
        <v>-</v>
      </c>
      <c r="M1899" s="35">
        <f t="shared" si="159"/>
        <v>0</v>
      </c>
      <c r="N1899" s="35">
        <f t="shared" si="160"/>
        <v>0</v>
      </c>
      <c r="O1899" s="35">
        <f t="shared" si="161"/>
        <v>0</v>
      </c>
      <c r="P1899" s="35">
        <f t="shared" si="162"/>
        <v>0</v>
      </c>
    </row>
    <row r="1900" spans="12:16" ht="15" hidden="1" customHeight="1">
      <c r="L1900" s="43" t="str">
        <f t="shared" si="158"/>
        <v>-</v>
      </c>
      <c r="M1900" s="35">
        <f t="shared" si="159"/>
        <v>0</v>
      </c>
      <c r="N1900" s="35">
        <f t="shared" si="160"/>
        <v>0</v>
      </c>
      <c r="O1900" s="35">
        <f t="shared" si="161"/>
        <v>0</v>
      </c>
      <c r="P1900" s="35">
        <f t="shared" si="162"/>
        <v>0</v>
      </c>
    </row>
    <row r="1901" spans="12:16" ht="15" hidden="1" customHeight="1">
      <c r="L1901" s="43" t="str">
        <f t="shared" si="158"/>
        <v>-</v>
      </c>
      <c r="M1901" s="35">
        <f t="shared" si="159"/>
        <v>0</v>
      </c>
      <c r="N1901" s="35">
        <f t="shared" si="160"/>
        <v>0</v>
      </c>
      <c r="O1901" s="35">
        <f t="shared" si="161"/>
        <v>0</v>
      </c>
      <c r="P1901" s="35">
        <f t="shared" si="162"/>
        <v>0</v>
      </c>
    </row>
    <row r="1902" spans="12:16" ht="15" hidden="1" customHeight="1">
      <c r="L1902" s="43" t="str">
        <f t="shared" si="158"/>
        <v>-</v>
      </c>
      <c r="M1902" s="35">
        <f t="shared" si="159"/>
        <v>0</v>
      </c>
      <c r="N1902" s="35">
        <f t="shared" si="160"/>
        <v>0</v>
      </c>
      <c r="O1902" s="35">
        <f t="shared" si="161"/>
        <v>0</v>
      </c>
      <c r="P1902" s="35">
        <f t="shared" si="162"/>
        <v>0</v>
      </c>
    </row>
    <row r="1903" spans="12:16" ht="15" hidden="1" customHeight="1">
      <c r="L1903" s="43" t="str">
        <f t="shared" si="158"/>
        <v>-</v>
      </c>
      <c r="M1903" s="35">
        <f t="shared" si="159"/>
        <v>0</v>
      </c>
      <c r="N1903" s="35">
        <f t="shared" si="160"/>
        <v>0</v>
      </c>
      <c r="O1903" s="35">
        <f t="shared" si="161"/>
        <v>0</v>
      </c>
      <c r="P1903" s="35">
        <f t="shared" si="162"/>
        <v>0</v>
      </c>
    </row>
    <row r="1904" spans="12:16" ht="15" hidden="1" customHeight="1">
      <c r="L1904" s="43" t="str">
        <f t="shared" si="158"/>
        <v>-</v>
      </c>
      <c r="M1904" s="35">
        <f t="shared" si="159"/>
        <v>0</v>
      </c>
      <c r="N1904" s="35">
        <f t="shared" si="160"/>
        <v>0</v>
      </c>
      <c r="O1904" s="35">
        <f t="shared" si="161"/>
        <v>0</v>
      </c>
      <c r="P1904" s="35">
        <f t="shared" si="162"/>
        <v>0</v>
      </c>
    </row>
    <row r="1905" spans="12:16" ht="15" hidden="1" customHeight="1">
      <c r="L1905" s="43" t="str">
        <f t="shared" si="158"/>
        <v>-</v>
      </c>
      <c r="M1905" s="35">
        <f t="shared" si="159"/>
        <v>0</v>
      </c>
      <c r="N1905" s="35">
        <f t="shared" si="160"/>
        <v>0</v>
      </c>
      <c r="O1905" s="35">
        <f t="shared" si="161"/>
        <v>0</v>
      </c>
      <c r="P1905" s="35">
        <f t="shared" si="162"/>
        <v>0</v>
      </c>
    </row>
    <row r="1906" spans="12:16" ht="15" hidden="1" customHeight="1">
      <c r="L1906" s="43" t="str">
        <f t="shared" si="158"/>
        <v>-</v>
      </c>
      <c r="M1906" s="35">
        <f t="shared" si="159"/>
        <v>0</v>
      </c>
      <c r="N1906" s="35">
        <f t="shared" si="160"/>
        <v>0</v>
      </c>
      <c r="O1906" s="35">
        <f t="shared" si="161"/>
        <v>0</v>
      </c>
      <c r="P1906" s="35">
        <f t="shared" si="162"/>
        <v>0</v>
      </c>
    </row>
    <row r="1907" spans="12:16" ht="15" hidden="1" customHeight="1">
      <c r="L1907" s="43" t="str">
        <f t="shared" si="158"/>
        <v>-</v>
      </c>
      <c r="M1907" s="35">
        <f t="shared" si="159"/>
        <v>0</v>
      </c>
      <c r="N1907" s="35">
        <f t="shared" si="160"/>
        <v>0</v>
      </c>
      <c r="O1907" s="35">
        <f t="shared" si="161"/>
        <v>0</v>
      </c>
      <c r="P1907" s="35">
        <f t="shared" si="162"/>
        <v>0</v>
      </c>
    </row>
    <row r="1908" spans="12:16" ht="15" hidden="1" customHeight="1">
      <c r="L1908" s="43" t="str">
        <f t="shared" si="158"/>
        <v>-</v>
      </c>
      <c r="M1908" s="35">
        <f t="shared" si="159"/>
        <v>0</v>
      </c>
      <c r="N1908" s="35">
        <f t="shared" si="160"/>
        <v>0</v>
      </c>
      <c r="O1908" s="35">
        <f t="shared" si="161"/>
        <v>0</v>
      </c>
      <c r="P1908" s="35">
        <f t="shared" si="162"/>
        <v>0</v>
      </c>
    </row>
    <row r="1909" spans="12:16" ht="15" hidden="1" customHeight="1">
      <c r="L1909" s="43" t="str">
        <f t="shared" si="158"/>
        <v>-</v>
      </c>
      <c r="M1909" s="35">
        <f t="shared" si="159"/>
        <v>0</v>
      </c>
      <c r="N1909" s="35">
        <f t="shared" si="160"/>
        <v>0</v>
      </c>
      <c r="O1909" s="35">
        <f t="shared" si="161"/>
        <v>0</v>
      </c>
      <c r="P1909" s="35">
        <f t="shared" si="162"/>
        <v>0</v>
      </c>
    </row>
    <row r="1910" spans="12:16" ht="15" hidden="1" customHeight="1">
      <c r="L1910" s="43" t="str">
        <f t="shared" si="158"/>
        <v>-</v>
      </c>
      <c r="M1910" s="35">
        <f t="shared" si="159"/>
        <v>0</v>
      </c>
      <c r="N1910" s="35">
        <f t="shared" si="160"/>
        <v>0</v>
      </c>
      <c r="O1910" s="35">
        <f t="shared" si="161"/>
        <v>0</v>
      </c>
      <c r="P1910" s="35">
        <f t="shared" si="162"/>
        <v>0</v>
      </c>
    </row>
    <row r="1911" spans="12:16" ht="15" hidden="1" customHeight="1">
      <c r="L1911" s="43" t="str">
        <f t="shared" si="158"/>
        <v>-</v>
      </c>
      <c r="M1911" s="35">
        <f t="shared" si="159"/>
        <v>0</v>
      </c>
      <c r="N1911" s="35">
        <f t="shared" si="160"/>
        <v>0</v>
      </c>
      <c r="O1911" s="35">
        <f t="shared" si="161"/>
        <v>0</v>
      </c>
      <c r="P1911" s="35">
        <f t="shared" si="162"/>
        <v>0</v>
      </c>
    </row>
    <row r="1912" spans="12:16" ht="15" hidden="1" customHeight="1">
      <c r="L1912" s="43" t="str">
        <f t="shared" si="158"/>
        <v>-</v>
      </c>
      <c r="M1912" s="35">
        <f t="shared" si="159"/>
        <v>0</v>
      </c>
      <c r="N1912" s="35">
        <f t="shared" si="160"/>
        <v>0</v>
      </c>
      <c r="O1912" s="35">
        <f t="shared" si="161"/>
        <v>0</v>
      </c>
      <c r="P1912" s="35">
        <f t="shared" si="162"/>
        <v>0</v>
      </c>
    </row>
    <row r="1913" spans="12:16" ht="15" hidden="1" customHeight="1">
      <c r="L1913" s="43" t="str">
        <f t="shared" si="158"/>
        <v>-</v>
      </c>
      <c r="M1913" s="35">
        <f t="shared" si="159"/>
        <v>0</v>
      </c>
      <c r="N1913" s="35">
        <f t="shared" si="160"/>
        <v>0</v>
      </c>
      <c r="O1913" s="35">
        <f t="shared" si="161"/>
        <v>0</v>
      </c>
      <c r="P1913" s="35">
        <f t="shared" si="162"/>
        <v>0</v>
      </c>
    </row>
    <row r="1914" spans="12:16" ht="15" hidden="1" customHeight="1">
      <c r="L1914" s="43" t="str">
        <f t="shared" si="158"/>
        <v>-</v>
      </c>
      <c r="M1914" s="35">
        <f t="shared" si="159"/>
        <v>0</v>
      </c>
      <c r="N1914" s="35">
        <f t="shared" si="160"/>
        <v>0</v>
      </c>
      <c r="O1914" s="35">
        <f t="shared" si="161"/>
        <v>0</v>
      </c>
      <c r="P1914" s="35">
        <f t="shared" si="162"/>
        <v>0</v>
      </c>
    </row>
    <row r="1915" spans="12:16" ht="15" hidden="1" customHeight="1">
      <c r="L1915" s="43" t="str">
        <f t="shared" si="158"/>
        <v>-</v>
      </c>
      <c r="M1915" s="35">
        <f t="shared" si="159"/>
        <v>0</v>
      </c>
      <c r="N1915" s="35">
        <f t="shared" si="160"/>
        <v>0</v>
      </c>
      <c r="O1915" s="35">
        <f t="shared" si="161"/>
        <v>0</v>
      </c>
      <c r="P1915" s="35">
        <f t="shared" si="162"/>
        <v>0</v>
      </c>
    </row>
    <row r="1916" spans="12:16" ht="15" hidden="1" customHeight="1">
      <c r="L1916" s="43" t="str">
        <f t="shared" si="158"/>
        <v>-</v>
      </c>
      <c r="M1916" s="35">
        <f t="shared" si="159"/>
        <v>0</v>
      </c>
      <c r="N1916" s="35">
        <f t="shared" si="160"/>
        <v>0</v>
      </c>
      <c r="O1916" s="35">
        <f t="shared" si="161"/>
        <v>0</v>
      </c>
      <c r="P1916" s="35">
        <f t="shared" si="162"/>
        <v>0</v>
      </c>
    </row>
    <row r="1917" spans="12:16" ht="15" hidden="1" customHeight="1">
      <c r="L1917" s="43" t="str">
        <f t="shared" si="158"/>
        <v>-</v>
      </c>
      <c r="M1917" s="35">
        <f t="shared" si="159"/>
        <v>0</v>
      </c>
      <c r="N1917" s="35">
        <f t="shared" si="160"/>
        <v>0</v>
      </c>
      <c r="O1917" s="35">
        <f t="shared" si="161"/>
        <v>0</v>
      </c>
      <c r="P1917" s="35">
        <f t="shared" si="162"/>
        <v>0</v>
      </c>
    </row>
    <row r="1918" spans="12:16" ht="15" hidden="1" customHeight="1">
      <c r="L1918" s="43" t="str">
        <f t="shared" si="158"/>
        <v>-</v>
      </c>
      <c r="M1918" s="35">
        <f t="shared" si="159"/>
        <v>0</v>
      </c>
      <c r="N1918" s="35">
        <f t="shared" si="160"/>
        <v>0</v>
      </c>
      <c r="O1918" s="35">
        <f t="shared" si="161"/>
        <v>0</v>
      </c>
      <c r="P1918" s="35">
        <f t="shared" si="162"/>
        <v>0</v>
      </c>
    </row>
    <row r="1919" spans="12:16" ht="15" hidden="1" customHeight="1">
      <c r="L1919" s="43" t="str">
        <f t="shared" si="158"/>
        <v>-</v>
      </c>
      <c r="M1919" s="35">
        <f t="shared" si="159"/>
        <v>0</v>
      </c>
      <c r="N1919" s="35">
        <f t="shared" si="160"/>
        <v>0</v>
      </c>
      <c r="O1919" s="35">
        <f t="shared" si="161"/>
        <v>0</v>
      </c>
      <c r="P1919" s="35">
        <f t="shared" si="162"/>
        <v>0</v>
      </c>
    </row>
    <row r="1920" spans="12:16" ht="15" hidden="1" customHeight="1">
      <c r="L1920" s="43" t="str">
        <f t="shared" si="158"/>
        <v>-</v>
      </c>
      <c r="M1920" s="35">
        <f t="shared" si="159"/>
        <v>0</v>
      </c>
      <c r="N1920" s="35">
        <f t="shared" si="160"/>
        <v>0</v>
      </c>
      <c r="O1920" s="35">
        <f t="shared" si="161"/>
        <v>0</v>
      </c>
      <c r="P1920" s="35">
        <f t="shared" si="162"/>
        <v>0</v>
      </c>
    </row>
    <row r="1921" spans="12:16" ht="15" hidden="1" customHeight="1">
      <c r="L1921" s="43" t="str">
        <f t="shared" si="158"/>
        <v>-</v>
      </c>
      <c r="M1921" s="35">
        <f t="shared" si="159"/>
        <v>0</v>
      </c>
      <c r="N1921" s="35">
        <f t="shared" si="160"/>
        <v>0</v>
      </c>
      <c r="O1921" s="35">
        <f t="shared" si="161"/>
        <v>0</v>
      </c>
      <c r="P1921" s="35">
        <f t="shared" si="162"/>
        <v>0</v>
      </c>
    </row>
    <row r="1922" spans="12:16" ht="15" hidden="1" customHeight="1">
      <c r="L1922" s="43" t="str">
        <f t="shared" si="158"/>
        <v>-</v>
      </c>
      <c r="M1922" s="35">
        <f t="shared" si="159"/>
        <v>0</v>
      </c>
      <c r="N1922" s="35">
        <f t="shared" si="160"/>
        <v>0</v>
      </c>
      <c r="O1922" s="35">
        <f t="shared" si="161"/>
        <v>0</v>
      </c>
      <c r="P1922" s="35">
        <f t="shared" si="162"/>
        <v>0</v>
      </c>
    </row>
    <row r="1923" spans="12:16" ht="15" hidden="1" customHeight="1">
      <c r="L1923" s="43" t="str">
        <f t="shared" si="158"/>
        <v>-</v>
      </c>
      <c r="M1923" s="35">
        <f t="shared" si="159"/>
        <v>0</v>
      </c>
      <c r="N1923" s="35">
        <f t="shared" si="160"/>
        <v>0</v>
      </c>
      <c r="O1923" s="35">
        <f t="shared" si="161"/>
        <v>0</v>
      </c>
      <c r="P1923" s="35">
        <f t="shared" si="162"/>
        <v>0</v>
      </c>
    </row>
    <row r="1924" spans="12:16" ht="15" hidden="1" customHeight="1">
      <c r="L1924" s="43" t="str">
        <f t="shared" si="158"/>
        <v>-</v>
      </c>
      <c r="M1924" s="35">
        <f t="shared" si="159"/>
        <v>0</v>
      </c>
      <c r="N1924" s="35">
        <f t="shared" si="160"/>
        <v>0</v>
      </c>
      <c r="O1924" s="35">
        <f t="shared" si="161"/>
        <v>0</v>
      </c>
      <c r="P1924" s="35">
        <f t="shared" si="162"/>
        <v>0</v>
      </c>
    </row>
    <row r="1925" spans="12:16" ht="15" hidden="1" customHeight="1">
      <c r="L1925" s="43" t="str">
        <f t="shared" si="158"/>
        <v>-</v>
      </c>
      <c r="M1925" s="35">
        <f t="shared" si="159"/>
        <v>0</v>
      </c>
      <c r="N1925" s="35">
        <f t="shared" si="160"/>
        <v>0</v>
      </c>
      <c r="O1925" s="35">
        <f t="shared" si="161"/>
        <v>0</v>
      </c>
      <c r="P1925" s="35">
        <f t="shared" si="162"/>
        <v>0</v>
      </c>
    </row>
    <row r="1926" spans="12:16" ht="15" hidden="1" customHeight="1">
      <c r="L1926" s="43" t="str">
        <f t="shared" si="158"/>
        <v>-</v>
      </c>
      <c r="M1926" s="35">
        <f t="shared" si="159"/>
        <v>0</v>
      </c>
      <c r="N1926" s="35">
        <f t="shared" si="160"/>
        <v>0</v>
      </c>
      <c r="O1926" s="35">
        <f t="shared" si="161"/>
        <v>0</v>
      </c>
      <c r="P1926" s="35">
        <f t="shared" si="162"/>
        <v>0</v>
      </c>
    </row>
    <row r="1927" spans="12:16" ht="15" hidden="1" customHeight="1">
      <c r="L1927" s="43" t="str">
        <f t="shared" si="158"/>
        <v>-</v>
      </c>
      <c r="M1927" s="35">
        <f t="shared" si="159"/>
        <v>0</v>
      </c>
      <c r="N1927" s="35">
        <f t="shared" si="160"/>
        <v>0</v>
      </c>
      <c r="O1927" s="35">
        <f t="shared" si="161"/>
        <v>0</v>
      </c>
      <c r="P1927" s="35">
        <f t="shared" si="162"/>
        <v>0</v>
      </c>
    </row>
    <row r="1928" spans="12:16" ht="15" hidden="1" customHeight="1">
      <c r="L1928" s="43" t="str">
        <f t="shared" si="158"/>
        <v>-</v>
      </c>
      <c r="M1928" s="35">
        <f t="shared" si="159"/>
        <v>0</v>
      </c>
      <c r="N1928" s="35">
        <f t="shared" si="160"/>
        <v>0</v>
      </c>
      <c r="O1928" s="35">
        <f t="shared" si="161"/>
        <v>0</v>
      </c>
      <c r="P1928" s="35">
        <f t="shared" si="162"/>
        <v>0</v>
      </c>
    </row>
    <row r="1929" spans="12:16" ht="15" hidden="1" customHeight="1">
      <c r="L1929" s="43" t="str">
        <f t="shared" si="158"/>
        <v>-</v>
      </c>
      <c r="M1929" s="35">
        <f t="shared" si="159"/>
        <v>0</v>
      </c>
      <c r="N1929" s="35">
        <f t="shared" si="160"/>
        <v>0</v>
      </c>
      <c r="O1929" s="35">
        <f t="shared" si="161"/>
        <v>0</v>
      </c>
      <c r="P1929" s="35">
        <f t="shared" si="162"/>
        <v>0</v>
      </c>
    </row>
    <row r="1930" spans="12:16" ht="15" hidden="1" customHeight="1">
      <c r="L1930" s="43" t="str">
        <f t="shared" si="158"/>
        <v>-</v>
      </c>
      <c r="M1930" s="35">
        <f t="shared" si="159"/>
        <v>0</v>
      </c>
      <c r="N1930" s="35">
        <f t="shared" si="160"/>
        <v>0</v>
      </c>
      <c r="O1930" s="35">
        <f t="shared" si="161"/>
        <v>0</v>
      </c>
      <c r="P1930" s="35">
        <f t="shared" si="162"/>
        <v>0</v>
      </c>
    </row>
    <row r="1931" spans="12:16" ht="15" hidden="1" customHeight="1">
      <c r="L1931" s="43" t="str">
        <f t="shared" si="158"/>
        <v>-</v>
      </c>
      <c r="M1931" s="35">
        <f t="shared" si="159"/>
        <v>0</v>
      </c>
      <c r="N1931" s="35">
        <f t="shared" si="160"/>
        <v>0</v>
      </c>
      <c r="O1931" s="35">
        <f t="shared" si="161"/>
        <v>0</v>
      </c>
      <c r="P1931" s="35">
        <f t="shared" si="162"/>
        <v>0</v>
      </c>
    </row>
    <row r="1932" spans="12:16" ht="15" hidden="1" customHeight="1">
      <c r="L1932" s="43" t="str">
        <f t="shared" si="158"/>
        <v>-</v>
      </c>
      <c r="M1932" s="35">
        <f t="shared" si="159"/>
        <v>0</v>
      </c>
      <c r="N1932" s="35">
        <f t="shared" si="160"/>
        <v>0</v>
      </c>
      <c r="O1932" s="35">
        <f t="shared" si="161"/>
        <v>0</v>
      </c>
      <c r="P1932" s="35">
        <f t="shared" si="162"/>
        <v>0</v>
      </c>
    </row>
    <row r="1933" spans="12:16" ht="15" hidden="1" customHeight="1">
      <c r="L1933" s="43" t="str">
        <f t="shared" si="158"/>
        <v>-</v>
      </c>
      <c r="M1933" s="35">
        <f t="shared" si="159"/>
        <v>0</v>
      </c>
      <c r="N1933" s="35">
        <f t="shared" si="160"/>
        <v>0</v>
      </c>
      <c r="O1933" s="35">
        <f t="shared" si="161"/>
        <v>0</v>
      </c>
      <c r="P1933" s="35">
        <f t="shared" si="162"/>
        <v>0</v>
      </c>
    </row>
    <row r="1934" spans="12:16" ht="15" hidden="1" customHeight="1">
      <c r="L1934" s="43" t="str">
        <f t="shared" si="158"/>
        <v>-</v>
      </c>
      <c r="M1934" s="35">
        <f t="shared" si="159"/>
        <v>0</v>
      </c>
      <c r="N1934" s="35">
        <f t="shared" si="160"/>
        <v>0</v>
      </c>
      <c r="O1934" s="35">
        <f t="shared" si="161"/>
        <v>0</v>
      </c>
      <c r="P1934" s="35">
        <f t="shared" si="162"/>
        <v>0</v>
      </c>
    </row>
    <row r="1935" spans="12:16" ht="15" hidden="1" customHeight="1">
      <c r="L1935" s="43" t="str">
        <f t="shared" si="158"/>
        <v>-</v>
      </c>
      <c r="M1935" s="35">
        <f t="shared" si="159"/>
        <v>0</v>
      </c>
      <c r="N1935" s="35">
        <f t="shared" si="160"/>
        <v>0</v>
      </c>
      <c r="O1935" s="35">
        <f t="shared" si="161"/>
        <v>0</v>
      </c>
      <c r="P1935" s="35">
        <f t="shared" si="162"/>
        <v>0</v>
      </c>
    </row>
    <row r="1936" spans="12:16" ht="15" hidden="1" customHeight="1">
      <c r="L1936" s="43" t="str">
        <f t="shared" si="158"/>
        <v>-</v>
      </c>
      <c r="M1936" s="35">
        <f t="shared" si="159"/>
        <v>0</v>
      </c>
      <c r="N1936" s="35">
        <f t="shared" si="160"/>
        <v>0</v>
      </c>
      <c r="O1936" s="35">
        <f t="shared" si="161"/>
        <v>0</v>
      </c>
      <c r="P1936" s="35">
        <f t="shared" si="162"/>
        <v>0</v>
      </c>
    </row>
    <row r="1937" spans="12:16" ht="15" hidden="1" customHeight="1">
      <c r="L1937" s="43" t="str">
        <f t="shared" si="158"/>
        <v>-</v>
      </c>
      <c r="M1937" s="35">
        <f t="shared" si="159"/>
        <v>0</v>
      </c>
      <c r="N1937" s="35">
        <f t="shared" si="160"/>
        <v>0</v>
      </c>
      <c r="O1937" s="35">
        <f t="shared" si="161"/>
        <v>0</v>
      </c>
      <c r="P1937" s="35">
        <f t="shared" si="162"/>
        <v>0</v>
      </c>
    </row>
    <row r="1938" spans="12:16" ht="15" hidden="1" customHeight="1">
      <c r="L1938" s="43" t="str">
        <f t="shared" si="158"/>
        <v>-</v>
      </c>
      <c r="M1938" s="35">
        <f t="shared" si="159"/>
        <v>0</v>
      </c>
      <c r="N1938" s="35">
        <f t="shared" si="160"/>
        <v>0</v>
      </c>
      <c r="O1938" s="35">
        <f t="shared" si="161"/>
        <v>0</v>
      </c>
      <c r="P1938" s="35">
        <f t="shared" si="162"/>
        <v>0</v>
      </c>
    </row>
    <row r="1939" spans="12:16" ht="15" hidden="1" customHeight="1">
      <c r="L1939" s="43" t="str">
        <f t="shared" si="158"/>
        <v>-</v>
      </c>
      <c r="M1939" s="35">
        <f t="shared" si="159"/>
        <v>0</v>
      </c>
      <c r="N1939" s="35">
        <f t="shared" si="160"/>
        <v>0</v>
      </c>
      <c r="O1939" s="35">
        <f t="shared" si="161"/>
        <v>0</v>
      </c>
      <c r="P1939" s="35">
        <f t="shared" si="162"/>
        <v>0</v>
      </c>
    </row>
    <row r="1940" spans="12:16" ht="15" hidden="1" customHeight="1">
      <c r="L1940" s="43" t="str">
        <f t="shared" si="158"/>
        <v>-</v>
      </c>
      <c r="M1940" s="35">
        <f t="shared" si="159"/>
        <v>0</v>
      </c>
      <c r="N1940" s="35">
        <f t="shared" si="160"/>
        <v>0</v>
      </c>
      <c r="O1940" s="35">
        <f t="shared" si="161"/>
        <v>0</v>
      </c>
      <c r="P1940" s="35">
        <f t="shared" si="162"/>
        <v>0</v>
      </c>
    </row>
    <row r="1941" spans="12:16" ht="15" hidden="1" customHeight="1">
      <c r="L1941" s="43" t="str">
        <f t="shared" si="158"/>
        <v>-</v>
      </c>
      <c r="M1941" s="35">
        <f t="shared" si="159"/>
        <v>0</v>
      </c>
      <c r="N1941" s="35">
        <f t="shared" si="160"/>
        <v>0</v>
      </c>
      <c r="O1941" s="35">
        <f t="shared" si="161"/>
        <v>0</v>
      </c>
      <c r="P1941" s="35">
        <f t="shared" si="162"/>
        <v>0</v>
      </c>
    </row>
    <row r="1942" spans="12:16" ht="15" hidden="1" customHeight="1">
      <c r="L1942" s="43" t="str">
        <f t="shared" si="158"/>
        <v>-</v>
      </c>
      <c r="M1942" s="35">
        <f t="shared" si="159"/>
        <v>0</v>
      </c>
      <c r="N1942" s="35">
        <f t="shared" si="160"/>
        <v>0</v>
      </c>
      <c r="O1942" s="35">
        <f t="shared" si="161"/>
        <v>0</v>
      </c>
      <c r="P1942" s="35">
        <f t="shared" si="162"/>
        <v>0</v>
      </c>
    </row>
    <row r="1943" spans="12:16" ht="15" hidden="1" customHeight="1">
      <c r="L1943" s="43" t="str">
        <f t="shared" si="158"/>
        <v>-</v>
      </c>
      <c r="M1943" s="35">
        <f t="shared" si="159"/>
        <v>0</v>
      </c>
      <c r="N1943" s="35">
        <f t="shared" si="160"/>
        <v>0</v>
      </c>
      <c r="O1943" s="35">
        <f t="shared" si="161"/>
        <v>0</v>
      </c>
      <c r="P1943" s="35">
        <f t="shared" si="162"/>
        <v>0</v>
      </c>
    </row>
    <row r="1944" spans="12:16" ht="15" hidden="1" customHeight="1">
      <c r="L1944" s="43" t="str">
        <f t="shared" si="158"/>
        <v>-</v>
      </c>
      <c r="M1944" s="35">
        <f t="shared" si="159"/>
        <v>0</v>
      </c>
      <c r="N1944" s="35">
        <f t="shared" si="160"/>
        <v>0</v>
      </c>
      <c r="O1944" s="35">
        <f t="shared" si="161"/>
        <v>0</v>
      </c>
      <c r="P1944" s="35">
        <f t="shared" si="162"/>
        <v>0</v>
      </c>
    </row>
    <row r="1945" spans="12:16" ht="15" hidden="1" customHeight="1">
      <c r="L1945" s="43" t="str">
        <f t="shared" si="158"/>
        <v>-</v>
      </c>
      <c r="M1945" s="35">
        <f t="shared" si="159"/>
        <v>0</v>
      </c>
      <c r="N1945" s="35">
        <f t="shared" si="160"/>
        <v>0</v>
      </c>
      <c r="O1945" s="35">
        <f t="shared" si="161"/>
        <v>0</v>
      </c>
      <c r="P1945" s="35">
        <f t="shared" si="162"/>
        <v>0</v>
      </c>
    </row>
    <row r="1946" spans="12:16" ht="15" hidden="1" customHeight="1">
      <c r="L1946" s="43" t="str">
        <f t="shared" si="158"/>
        <v>-</v>
      </c>
      <c r="M1946" s="35">
        <f t="shared" si="159"/>
        <v>0</v>
      </c>
      <c r="N1946" s="35">
        <f t="shared" si="160"/>
        <v>0</v>
      </c>
      <c r="O1946" s="35">
        <f t="shared" si="161"/>
        <v>0</v>
      </c>
      <c r="P1946" s="35">
        <f t="shared" si="162"/>
        <v>0</v>
      </c>
    </row>
    <row r="1947" spans="12:16" ht="15" hidden="1" customHeight="1">
      <c r="L1947" s="43" t="str">
        <f t="shared" si="158"/>
        <v>-</v>
      </c>
      <c r="M1947" s="35">
        <f t="shared" si="159"/>
        <v>0</v>
      </c>
      <c r="N1947" s="35">
        <f t="shared" si="160"/>
        <v>0</v>
      </c>
      <c r="O1947" s="35">
        <f t="shared" si="161"/>
        <v>0</v>
      </c>
      <c r="P1947" s="35">
        <f t="shared" si="162"/>
        <v>0</v>
      </c>
    </row>
    <row r="1948" spans="12:16" ht="15" hidden="1" customHeight="1">
      <c r="L1948" s="43" t="str">
        <f t="shared" si="158"/>
        <v>-</v>
      </c>
      <c r="M1948" s="35">
        <f t="shared" si="159"/>
        <v>0</v>
      </c>
      <c r="N1948" s="35">
        <f t="shared" si="160"/>
        <v>0</v>
      </c>
      <c r="O1948" s="35">
        <f t="shared" si="161"/>
        <v>0</v>
      </c>
      <c r="P1948" s="35">
        <f t="shared" si="162"/>
        <v>0</v>
      </c>
    </row>
    <row r="1949" spans="12:16" ht="15" hidden="1" customHeight="1">
      <c r="L1949" s="43" t="str">
        <f t="shared" si="158"/>
        <v>-</v>
      </c>
      <c r="M1949" s="35">
        <f t="shared" si="159"/>
        <v>0</v>
      </c>
      <c r="N1949" s="35">
        <f t="shared" si="160"/>
        <v>0</v>
      </c>
      <c r="O1949" s="35">
        <f t="shared" si="161"/>
        <v>0</v>
      </c>
      <c r="P1949" s="35">
        <f t="shared" si="162"/>
        <v>0</v>
      </c>
    </row>
    <row r="1950" spans="12:16" ht="15" hidden="1" customHeight="1">
      <c r="L1950" s="43" t="str">
        <f t="shared" si="158"/>
        <v>-</v>
      </c>
      <c r="M1950" s="35">
        <f t="shared" si="159"/>
        <v>0</v>
      </c>
      <c r="N1950" s="35">
        <f t="shared" si="160"/>
        <v>0</v>
      </c>
      <c r="O1950" s="35">
        <f t="shared" si="161"/>
        <v>0</v>
      </c>
      <c r="P1950" s="35">
        <f t="shared" si="162"/>
        <v>0</v>
      </c>
    </row>
    <row r="1951" spans="12:16" ht="15" hidden="1" customHeight="1">
      <c r="L1951" s="43" t="str">
        <f t="shared" ref="L1951:L2014" si="163">IFERROR(IF(MAX(L1950+1,Дата_получения_Займа+1)&gt;Дата_погашения_Займа,"-",MAX(L1950+1,Дата_получения_Займа+1)),"-")</f>
        <v>-</v>
      </c>
      <c r="M1951" s="35">
        <f t="shared" ref="M1951:M2014" si="164">IFERROR(VLOOKUP(L1951,$B$31:$E$59,4,FALSE),0)</f>
        <v>0</v>
      </c>
      <c r="N1951" s="35">
        <f t="shared" ref="N1951:N2014" si="165">IF(ISNUMBER(N1950),N1950-M1951,$E$20)</f>
        <v>0</v>
      </c>
      <c r="O1951" s="35">
        <f t="shared" ref="O1951:O2014" si="166">IFERROR(IF(ISNUMBER(N1950),N1950,$E$20)*IF(L1951&gt;=$J$20,$E$25,$E$24)/IF(MOD(YEAR(L1951),4),365,366)*IF(ISBLANK(L1950),L1951-$E$22,L1951-L1950),0)</f>
        <v>0</v>
      </c>
      <c r="P1951" s="35">
        <f t="shared" ref="P1951:P2014" si="167">IFERROR(IF(ISNUMBER(N1950),N1950,$E$20)*3%/IF(MOD(YEAR(L1951),4),365,366)*IF(ISBLANK(L1950),(L1951-$E$22),L1951-L1950),0)</f>
        <v>0</v>
      </c>
    </row>
    <row r="1952" spans="12:16" ht="15" hidden="1" customHeight="1">
      <c r="L1952" s="43" t="str">
        <f t="shared" si="163"/>
        <v>-</v>
      </c>
      <c r="M1952" s="35">
        <f t="shared" si="164"/>
        <v>0</v>
      </c>
      <c r="N1952" s="35">
        <f t="shared" si="165"/>
        <v>0</v>
      </c>
      <c r="O1952" s="35">
        <f t="shared" si="166"/>
        <v>0</v>
      </c>
      <c r="P1952" s="35">
        <f t="shared" si="167"/>
        <v>0</v>
      </c>
    </row>
    <row r="1953" spans="12:16" ht="15" hidden="1" customHeight="1">
      <c r="L1953" s="43" t="str">
        <f t="shared" si="163"/>
        <v>-</v>
      </c>
      <c r="M1953" s="35">
        <f t="shared" si="164"/>
        <v>0</v>
      </c>
      <c r="N1953" s="35">
        <f t="shared" si="165"/>
        <v>0</v>
      </c>
      <c r="O1953" s="35">
        <f t="shared" si="166"/>
        <v>0</v>
      </c>
      <c r="P1953" s="35">
        <f t="shared" si="167"/>
        <v>0</v>
      </c>
    </row>
    <row r="1954" spans="12:16" ht="15" hidden="1" customHeight="1">
      <c r="L1954" s="43" t="str">
        <f t="shared" si="163"/>
        <v>-</v>
      </c>
      <c r="M1954" s="35">
        <f t="shared" si="164"/>
        <v>0</v>
      </c>
      <c r="N1954" s="35">
        <f t="shared" si="165"/>
        <v>0</v>
      </c>
      <c r="O1954" s="35">
        <f t="shared" si="166"/>
        <v>0</v>
      </c>
      <c r="P1954" s="35">
        <f t="shared" si="167"/>
        <v>0</v>
      </c>
    </row>
    <row r="1955" spans="12:16" ht="15" hidden="1" customHeight="1">
      <c r="L1955" s="43" t="str">
        <f t="shared" si="163"/>
        <v>-</v>
      </c>
      <c r="M1955" s="35">
        <f t="shared" si="164"/>
        <v>0</v>
      </c>
      <c r="N1955" s="35">
        <f t="shared" si="165"/>
        <v>0</v>
      </c>
      <c r="O1955" s="35">
        <f t="shared" si="166"/>
        <v>0</v>
      </c>
      <c r="P1955" s="35">
        <f t="shared" si="167"/>
        <v>0</v>
      </c>
    </row>
    <row r="1956" spans="12:16" ht="15" hidden="1" customHeight="1">
      <c r="L1956" s="43" t="str">
        <f t="shared" si="163"/>
        <v>-</v>
      </c>
      <c r="M1956" s="35">
        <f t="shared" si="164"/>
        <v>0</v>
      </c>
      <c r="N1956" s="35">
        <f t="shared" si="165"/>
        <v>0</v>
      </c>
      <c r="O1956" s="35">
        <f t="shared" si="166"/>
        <v>0</v>
      </c>
      <c r="P1956" s="35">
        <f t="shared" si="167"/>
        <v>0</v>
      </c>
    </row>
    <row r="1957" spans="12:16" ht="15" hidden="1" customHeight="1">
      <c r="L1957" s="43" t="str">
        <f t="shared" si="163"/>
        <v>-</v>
      </c>
      <c r="M1957" s="35">
        <f t="shared" si="164"/>
        <v>0</v>
      </c>
      <c r="N1957" s="35">
        <f t="shared" si="165"/>
        <v>0</v>
      </c>
      <c r="O1957" s="35">
        <f t="shared" si="166"/>
        <v>0</v>
      </c>
      <c r="P1957" s="35">
        <f t="shared" si="167"/>
        <v>0</v>
      </c>
    </row>
    <row r="1958" spans="12:16" ht="15" hidden="1" customHeight="1">
      <c r="L1958" s="43" t="str">
        <f t="shared" si="163"/>
        <v>-</v>
      </c>
      <c r="M1958" s="35">
        <f t="shared" si="164"/>
        <v>0</v>
      </c>
      <c r="N1958" s="35">
        <f t="shared" si="165"/>
        <v>0</v>
      </c>
      <c r="O1958" s="35">
        <f t="shared" si="166"/>
        <v>0</v>
      </c>
      <c r="P1958" s="35">
        <f t="shared" si="167"/>
        <v>0</v>
      </c>
    </row>
    <row r="1959" spans="12:16" ht="15" hidden="1" customHeight="1">
      <c r="L1959" s="43" t="str">
        <f t="shared" si="163"/>
        <v>-</v>
      </c>
      <c r="M1959" s="35">
        <f t="shared" si="164"/>
        <v>0</v>
      </c>
      <c r="N1959" s="35">
        <f t="shared" si="165"/>
        <v>0</v>
      </c>
      <c r="O1959" s="35">
        <f t="shared" si="166"/>
        <v>0</v>
      </c>
      <c r="P1959" s="35">
        <f t="shared" si="167"/>
        <v>0</v>
      </c>
    </row>
    <row r="1960" spans="12:16" ht="15" hidden="1" customHeight="1">
      <c r="L1960" s="43" t="str">
        <f t="shared" si="163"/>
        <v>-</v>
      </c>
      <c r="M1960" s="35">
        <f t="shared" si="164"/>
        <v>0</v>
      </c>
      <c r="N1960" s="35">
        <f t="shared" si="165"/>
        <v>0</v>
      </c>
      <c r="O1960" s="35">
        <f t="shared" si="166"/>
        <v>0</v>
      </c>
      <c r="P1960" s="35">
        <f t="shared" si="167"/>
        <v>0</v>
      </c>
    </row>
    <row r="1961" spans="12:16" ht="15" hidden="1" customHeight="1">
      <c r="L1961" s="43" t="str">
        <f t="shared" si="163"/>
        <v>-</v>
      </c>
      <c r="M1961" s="35">
        <f t="shared" si="164"/>
        <v>0</v>
      </c>
      <c r="N1961" s="35">
        <f t="shared" si="165"/>
        <v>0</v>
      </c>
      <c r="O1961" s="35">
        <f t="shared" si="166"/>
        <v>0</v>
      </c>
      <c r="P1961" s="35">
        <f t="shared" si="167"/>
        <v>0</v>
      </c>
    </row>
    <row r="1962" spans="12:16" ht="15" hidden="1" customHeight="1">
      <c r="L1962" s="43" t="str">
        <f t="shared" si="163"/>
        <v>-</v>
      </c>
      <c r="M1962" s="35">
        <f t="shared" si="164"/>
        <v>0</v>
      </c>
      <c r="N1962" s="35">
        <f t="shared" si="165"/>
        <v>0</v>
      </c>
      <c r="O1962" s="35">
        <f t="shared" si="166"/>
        <v>0</v>
      </c>
      <c r="P1962" s="35">
        <f t="shared" si="167"/>
        <v>0</v>
      </c>
    </row>
    <row r="1963" spans="12:16" ht="15" hidden="1" customHeight="1">
      <c r="L1963" s="43" t="str">
        <f t="shared" si="163"/>
        <v>-</v>
      </c>
      <c r="M1963" s="35">
        <f t="shared" si="164"/>
        <v>0</v>
      </c>
      <c r="N1963" s="35">
        <f t="shared" si="165"/>
        <v>0</v>
      </c>
      <c r="O1963" s="35">
        <f t="shared" si="166"/>
        <v>0</v>
      </c>
      <c r="P1963" s="35">
        <f t="shared" si="167"/>
        <v>0</v>
      </c>
    </row>
    <row r="1964" spans="12:16" ht="15" hidden="1" customHeight="1">
      <c r="L1964" s="43" t="str">
        <f t="shared" si="163"/>
        <v>-</v>
      </c>
      <c r="M1964" s="35">
        <f t="shared" si="164"/>
        <v>0</v>
      </c>
      <c r="N1964" s="35">
        <f t="shared" si="165"/>
        <v>0</v>
      </c>
      <c r="O1964" s="35">
        <f t="shared" si="166"/>
        <v>0</v>
      </c>
      <c r="P1964" s="35">
        <f t="shared" si="167"/>
        <v>0</v>
      </c>
    </row>
    <row r="1965" spans="12:16" ht="15" hidden="1" customHeight="1">
      <c r="L1965" s="43" t="str">
        <f t="shared" si="163"/>
        <v>-</v>
      </c>
      <c r="M1965" s="35">
        <f t="shared" si="164"/>
        <v>0</v>
      </c>
      <c r="N1965" s="35">
        <f t="shared" si="165"/>
        <v>0</v>
      </c>
      <c r="O1965" s="35">
        <f t="shared" si="166"/>
        <v>0</v>
      </c>
      <c r="P1965" s="35">
        <f t="shared" si="167"/>
        <v>0</v>
      </c>
    </row>
    <row r="1966" spans="12:16" ht="15" hidden="1" customHeight="1">
      <c r="L1966" s="43" t="str">
        <f t="shared" si="163"/>
        <v>-</v>
      </c>
      <c r="M1966" s="35">
        <f t="shared" si="164"/>
        <v>0</v>
      </c>
      <c r="N1966" s="35">
        <f t="shared" si="165"/>
        <v>0</v>
      </c>
      <c r="O1966" s="35">
        <f t="shared" si="166"/>
        <v>0</v>
      </c>
      <c r="P1966" s="35">
        <f t="shared" si="167"/>
        <v>0</v>
      </c>
    </row>
    <row r="1967" spans="12:16" ht="15" hidden="1" customHeight="1">
      <c r="L1967" s="43" t="str">
        <f t="shared" si="163"/>
        <v>-</v>
      </c>
      <c r="M1967" s="35">
        <f t="shared" si="164"/>
        <v>0</v>
      </c>
      <c r="N1967" s="35">
        <f t="shared" si="165"/>
        <v>0</v>
      </c>
      <c r="O1967" s="35">
        <f t="shared" si="166"/>
        <v>0</v>
      </c>
      <c r="P1967" s="35">
        <f t="shared" si="167"/>
        <v>0</v>
      </c>
    </row>
    <row r="1968" spans="12:16" ht="15" hidden="1" customHeight="1">
      <c r="L1968" s="43" t="str">
        <f t="shared" si="163"/>
        <v>-</v>
      </c>
      <c r="M1968" s="35">
        <f t="shared" si="164"/>
        <v>0</v>
      </c>
      <c r="N1968" s="35">
        <f t="shared" si="165"/>
        <v>0</v>
      </c>
      <c r="O1968" s="35">
        <f t="shared" si="166"/>
        <v>0</v>
      </c>
      <c r="P1968" s="35">
        <f t="shared" si="167"/>
        <v>0</v>
      </c>
    </row>
    <row r="1969" spans="12:16" ht="15" hidden="1" customHeight="1">
      <c r="L1969" s="43" t="str">
        <f t="shared" si="163"/>
        <v>-</v>
      </c>
      <c r="M1969" s="35">
        <f t="shared" si="164"/>
        <v>0</v>
      </c>
      <c r="N1969" s="35">
        <f t="shared" si="165"/>
        <v>0</v>
      </c>
      <c r="O1969" s="35">
        <f t="shared" si="166"/>
        <v>0</v>
      </c>
      <c r="P1969" s="35">
        <f t="shared" si="167"/>
        <v>0</v>
      </c>
    </row>
    <row r="1970" spans="12:16" ht="15" hidden="1" customHeight="1">
      <c r="L1970" s="43" t="str">
        <f t="shared" si="163"/>
        <v>-</v>
      </c>
      <c r="M1970" s="35">
        <f t="shared" si="164"/>
        <v>0</v>
      </c>
      <c r="N1970" s="35">
        <f t="shared" si="165"/>
        <v>0</v>
      </c>
      <c r="O1970" s="35">
        <f t="shared" si="166"/>
        <v>0</v>
      </c>
      <c r="P1970" s="35">
        <f t="shared" si="167"/>
        <v>0</v>
      </c>
    </row>
    <row r="1971" spans="12:16" ht="15" hidden="1" customHeight="1">
      <c r="L1971" s="43" t="str">
        <f t="shared" si="163"/>
        <v>-</v>
      </c>
      <c r="M1971" s="35">
        <f t="shared" si="164"/>
        <v>0</v>
      </c>
      <c r="N1971" s="35">
        <f t="shared" si="165"/>
        <v>0</v>
      </c>
      <c r="O1971" s="35">
        <f t="shared" si="166"/>
        <v>0</v>
      </c>
      <c r="P1971" s="35">
        <f t="shared" si="167"/>
        <v>0</v>
      </c>
    </row>
    <row r="1972" spans="12:16" ht="15" hidden="1" customHeight="1">
      <c r="L1972" s="43" t="str">
        <f t="shared" si="163"/>
        <v>-</v>
      </c>
      <c r="M1972" s="35">
        <f t="shared" si="164"/>
        <v>0</v>
      </c>
      <c r="N1972" s="35">
        <f t="shared" si="165"/>
        <v>0</v>
      </c>
      <c r="O1972" s="35">
        <f t="shared" si="166"/>
        <v>0</v>
      </c>
      <c r="P1972" s="35">
        <f t="shared" si="167"/>
        <v>0</v>
      </c>
    </row>
    <row r="1973" spans="12:16" ht="15" hidden="1" customHeight="1">
      <c r="L1973" s="43" t="str">
        <f t="shared" si="163"/>
        <v>-</v>
      </c>
      <c r="M1973" s="35">
        <f t="shared" si="164"/>
        <v>0</v>
      </c>
      <c r="N1973" s="35">
        <f t="shared" si="165"/>
        <v>0</v>
      </c>
      <c r="O1973" s="35">
        <f t="shared" si="166"/>
        <v>0</v>
      </c>
      <c r="P1973" s="35">
        <f t="shared" si="167"/>
        <v>0</v>
      </c>
    </row>
    <row r="1974" spans="12:16" ht="15" hidden="1" customHeight="1">
      <c r="L1974" s="43" t="str">
        <f t="shared" si="163"/>
        <v>-</v>
      </c>
      <c r="M1974" s="35">
        <f t="shared" si="164"/>
        <v>0</v>
      </c>
      <c r="N1974" s="35">
        <f t="shared" si="165"/>
        <v>0</v>
      </c>
      <c r="O1974" s="35">
        <f t="shared" si="166"/>
        <v>0</v>
      </c>
      <c r="P1974" s="35">
        <f t="shared" si="167"/>
        <v>0</v>
      </c>
    </row>
    <row r="1975" spans="12:16" ht="15" hidden="1" customHeight="1">
      <c r="L1975" s="43" t="str">
        <f t="shared" si="163"/>
        <v>-</v>
      </c>
      <c r="M1975" s="35">
        <f t="shared" si="164"/>
        <v>0</v>
      </c>
      <c r="N1975" s="35">
        <f t="shared" si="165"/>
        <v>0</v>
      </c>
      <c r="O1975" s="35">
        <f t="shared" si="166"/>
        <v>0</v>
      </c>
      <c r="P1975" s="35">
        <f t="shared" si="167"/>
        <v>0</v>
      </c>
    </row>
    <row r="1976" spans="12:16" ht="15" hidden="1" customHeight="1">
      <c r="L1976" s="43" t="str">
        <f t="shared" si="163"/>
        <v>-</v>
      </c>
      <c r="M1976" s="35">
        <f t="shared" si="164"/>
        <v>0</v>
      </c>
      <c r="N1976" s="35">
        <f t="shared" si="165"/>
        <v>0</v>
      </c>
      <c r="O1976" s="35">
        <f t="shared" si="166"/>
        <v>0</v>
      </c>
      <c r="P1976" s="35">
        <f t="shared" si="167"/>
        <v>0</v>
      </c>
    </row>
    <row r="1977" spans="12:16" ht="15" hidden="1" customHeight="1">
      <c r="L1977" s="43" t="str">
        <f t="shared" si="163"/>
        <v>-</v>
      </c>
      <c r="M1977" s="35">
        <f t="shared" si="164"/>
        <v>0</v>
      </c>
      <c r="N1977" s="35">
        <f t="shared" si="165"/>
        <v>0</v>
      </c>
      <c r="O1977" s="35">
        <f t="shared" si="166"/>
        <v>0</v>
      </c>
      <c r="P1977" s="35">
        <f t="shared" si="167"/>
        <v>0</v>
      </c>
    </row>
    <row r="1978" spans="12:16" ht="15" hidden="1" customHeight="1">
      <c r="L1978" s="43" t="str">
        <f t="shared" si="163"/>
        <v>-</v>
      </c>
      <c r="M1978" s="35">
        <f t="shared" si="164"/>
        <v>0</v>
      </c>
      <c r="N1978" s="35">
        <f t="shared" si="165"/>
        <v>0</v>
      </c>
      <c r="O1978" s="35">
        <f t="shared" si="166"/>
        <v>0</v>
      </c>
      <c r="P1978" s="35">
        <f t="shared" si="167"/>
        <v>0</v>
      </c>
    </row>
    <row r="1979" spans="12:16" ht="15" hidden="1" customHeight="1">
      <c r="L1979" s="43" t="str">
        <f t="shared" si="163"/>
        <v>-</v>
      </c>
      <c r="M1979" s="35">
        <f t="shared" si="164"/>
        <v>0</v>
      </c>
      <c r="N1979" s="35">
        <f t="shared" si="165"/>
        <v>0</v>
      </c>
      <c r="O1979" s="35">
        <f t="shared" si="166"/>
        <v>0</v>
      </c>
      <c r="P1979" s="35">
        <f t="shared" si="167"/>
        <v>0</v>
      </c>
    </row>
    <row r="1980" spans="12:16" ht="15" hidden="1" customHeight="1">
      <c r="L1980" s="43" t="str">
        <f t="shared" si="163"/>
        <v>-</v>
      </c>
      <c r="M1980" s="35">
        <f t="shared" si="164"/>
        <v>0</v>
      </c>
      <c r="N1980" s="35">
        <f t="shared" si="165"/>
        <v>0</v>
      </c>
      <c r="O1980" s="35">
        <f t="shared" si="166"/>
        <v>0</v>
      </c>
      <c r="P1980" s="35">
        <f t="shared" si="167"/>
        <v>0</v>
      </c>
    </row>
    <row r="1981" spans="12:16" ht="15" hidden="1" customHeight="1">
      <c r="L1981" s="43" t="str">
        <f t="shared" si="163"/>
        <v>-</v>
      </c>
      <c r="M1981" s="35">
        <f t="shared" si="164"/>
        <v>0</v>
      </c>
      <c r="N1981" s="35">
        <f t="shared" si="165"/>
        <v>0</v>
      </c>
      <c r="O1981" s="35">
        <f t="shared" si="166"/>
        <v>0</v>
      </c>
      <c r="P1981" s="35">
        <f t="shared" si="167"/>
        <v>0</v>
      </c>
    </row>
    <row r="1982" spans="12:16" ht="15" hidden="1" customHeight="1">
      <c r="L1982" s="43" t="str">
        <f t="shared" si="163"/>
        <v>-</v>
      </c>
      <c r="M1982" s="35">
        <f t="shared" si="164"/>
        <v>0</v>
      </c>
      <c r="N1982" s="35">
        <f t="shared" si="165"/>
        <v>0</v>
      </c>
      <c r="O1982" s="35">
        <f t="shared" si="166"/>
        <v>0</v>
      </c>
      <c r="P1982" s="35">
        <f t="shared" si="167"/>
        <v>0</v>
      </c>
    </row>
    <row r="1983" spans="12:16" ht="15" hidden="1" customHeight="1">
      <c r="L1983" s="43" t="str">
        <f t="shared" si="163"/>
        <v>-</v>
      </c>
      <c r="M1983" s="35">
        <f t="shared" si="164"/>
        <v>0</v>
      </c>
      <c r="N1983" s="35">
        <f t="shared" si="165"/>
        <v>0</v>
      </c>
      <c r="O1983" s="35">
        <f t="shared" si="166"/>
        <v>0</v>
      </c>
      <c r="P1983" s="35">
        <f t="shared" si="167"/>
        <v>0</v>
      </c>
    </row>
    <row r="1984" spans="12:16" ht="15" hidden="1" customHeight="1">
      <c r="L1984" s="43" t="str">
        <f t="shared" si="163"/>
        <v>-</v>
      </c>
      <c r="M1984" s="35">
        <f t="shared" si="164"/>
        <v>0</v>
      </c>
      <c r="N1984" s="35">
        <f t="shared" si="165"/>
        <v>0</v>
      </c>
      <c r="O1984" s="35">
        <f t="shared" si="166"/>
        <v>0</v>
      </c>
      <c r="P1984" s="35">
        <f t="shared" si="167"/>
        <v>0</v>
      </c>
    </row>
    <row r="1985" spans="12:16" ht="15" hidden="1" customHeight="1">
      <c r="L1985" s="43" t="str">
        <f t="shared" si="163"/>
        <v>-</v>
      </c>
      <c r="M1985" s="35">
        <f t="shared" si="164"/>
        <v>0</v>
      </c>
      <c r="N1985" s="35">
        <f t="shared" si="165"/>
        <v>0</v>
      </c>
      <c r="O1985" s="35">
        <f t="shared" si="166"/>
        <v>0</v>
      </c>
      <c r="P1985" s="35">
        <f t="shared" si="167"/>
        <v>0</v>
      </c>
    </row>
    <row r="1986" spans="12:16" ht="15" hidden="1" customHeight="1">
      <c r="L1986" s="43" t="str">
        <f t="shared" si="163"/>
        <v>-</v>
      </c>
      <c r="M1986" s="35">
        <f t="shared" si="164"/>
        <v>0</v>
      </c>
      <c r="N1986" s="35">
        <f t="shared" si="165"/>
        <v>0</v>
      </c>
      <c r="O1986" s="35">
        <f t="shared" si="166"/>
        <v>0</v>
      </c>
      <c r="P1986" s="35">
        <f t="shared" si="167"/>
        <v>0</v>
      </c>
    </row>
    <row r="1987" spans="12:16" ht="15" hidden="1" customHeight="1">
      <c r="L1987" s="43" t="str">
        <f t="shared" si="163"/>
        <v>-</v>
      </c>
      <c r="M1987" s="35">
        <f t="shared" si="164"/>
        <v>0</v>
      </c>
      <c r="N1987" s="35">
        <f t="shared" si="165"/>
        <v>0</v>
      </c>
      <c r="O1987" s="35">
        <f t="shared" si="166"/>
        <v>0</v>
      </c>
      <c r="P1987" s="35">
        <f t="shared" si="167"/>
        <v>0</v>
      </c>
    </row>
    <row r="1988" spans="12:16" ht="15" hidden="1" customHeight="1">
      <c r="L1988" s="43" t="str">
        <f t="shared" si="163"/>
        <v>-</v>
      </c>
      <c r="M1988" s="35">
        <f t="shared" si="164"/>
        <v>0</v>
      </c>
      <c r="N1988" s="35">
        <f t="shared" si="165"/>
        <v>0</v>
      </c>
      <c r="O1988" s="35">
        <f t="shared" si="166"/>
        <v>0</v>
      </c>
      <c r="P1988" s="35">
        <f t="shared" si="167"/>
        <v>0</v>
      </c>
    </row>
    <row r="1989" spans="12:16" ht="15" hidden="1" customHeight="1">
      <c r="L1989" s="43" t="str">
        <f t="shared" si="163"/>
        <v>-</v>
      </c>
      <c r="M1989" s="35">
        <f t="shared" si="164"/>
        <v>0</v>
      </c>
      <c r="N1989" s="35">
        <f t="shared" si="165"/>
        <v>0</v>
      </c>
      <c r="O1989" s="35">
        <f t="shared" si="166"/>
        <v>0</v>
      </c>
      <c r="P1989" s="35">
        <f t="shared" si="167"/>
        <v>0</v>
      </c>
    </row>
    <row r="1990" spans="12:16" ht="15" hidden="1" customHeight="1">
      <c r="L1990" s="43" t="str">
        <f t="shared" si="163"/>
        <v>-</v>
      </c>
      <c r="M1990" s="35">
        <f t="shared" si="164"/>
        <v>0</v>
      </c>
      <c r="N1990" s="35">
        <f t="shared" si="165"/>
        <v>0</v>
      </c>
      <c r="O1990" s="35">
        <f t="shared" si="166"/>
        <v>0</v>
      </c>
      <c r="P1990" s="35">
        <f t="shared" si="167"/>
        <v>0</v>
      </c>
    </row>
    <row r="1991" spans="12:16" ht="15" hidden="1" customHeight="1">
      <c r="L1991" s="43" t="str">
        <f t="shared" si="163"/>
        <v>-</v>
      </c>
      <c r="M1991" s="35">
        <f t="shared" si="164"/>
        <v>0</v>
      </c>
      <c r="N1991" s="35">
        <f t="shared" si="165"/>
        <v>0</v>
      </c>
      <c r="O1991" s="35">
        <f t="shared" si="166"/>
        <v>0</v>
      </c>
      <c r="P1991" s="35">
        <f t="shared" si="167"/>
        <v>0</v>
      </c>
    </row>
    <row r="1992" spans="12:16" ht="15" hidden="1" customHeight="1">
      <c r="L1992" s="43" t="str">
        <f t="shared" si="163"/>
        <v>-</v>
      </c>
      <c r="M1992" s="35">
        <f t="shared" si="164"/>
        <v>0</v>
      </c>
      <c r="N1992" s="35">
        <f t="shared" si="165"/>
        <v>0</v>
      </c>
      <c r="O1992" s="35">
        <f t="shared" si="166"/>
        <v>0</v>
      </c>
      <c r="P1992" s="35">
        <f t="shared" si="167"/>
        <v>0</v>
      </c>
    </row>
    <row r="1993" spans="12:16" ht="15" hidden="1" customHeight="1">
      <c r="L1993" s="43" t="str">
        <f t="shared" si="163"/>
        <v>-</v>
      </c>
      <c r="M1993" s="35">
        <f t="shared" si="164"/>
        <v>0</v>
      </c>
      <c r="N1993" s="35">
        <f t="shared" si="165"/>
        <v>0</v>
      </c>
      <c r="O1993" s="35">
        <f t="shared" si="166"/>
        <v>0</v>
      </c>
      <c r="P1993" s="35">
        <f t="shared" si="167"/>
        <v>0</v>
      </c>
    </row>
    <row r="1994" spans="12:16" ht="15" hidden="1" customHeight="1">
      <c r="L1994" s="43" t="str">
        <f t="shared" si="163"/>
        <v>-</v>
      </c>
      <c r="M1994" s="35">
        <f t="shared" si="164"/>
        <v>0</v>
      </c>
      <c r="N1994" s="35">
        <f t="shared" si="165"/>
        <v>0</v>
      </c>
      <c r="O1994" s="35">
        <f t="shared" si="166"/>
        <v>0</v>
      </c>
      <c r="P1994" s="35">
        <f t="shared" si="167"/>
        <v>0</v>
      </c>
    </row>
    <row r="1995" spans="12:16" ht="15" hidden="1" customHeight="1">
      <c r="L1995" s="43" t="str">
        <f t="shared" si="163"/>
        <v>-</v>
      </c>
      <c r="M1995" s="35">
        <f t="shared" si="164"/>
        <v>0</v>
      </c>
      <c r="N1995" s="35">
        <f t="shared" si="165"/>
        <v>0</v>
      </c>
      <c r="O1995" s="35">
        <f t="shared" si="166"/>
        <v>0</v>
      </c>
      <c r="P1995" s="35">
        <f t="shared" si="167"/>
        <v>0</v>
      </c>
    </row>
    <row r="1996" spans="12:16" ht="15" hidden="1" customHeight="1">
      <c r="L1996" s="43" t="str">
        <f t="shared" si="163"/>
        <v>-</v>
      </c>
      <c r="M1996" s="35">
        <f t="shared" si="164"/>
        <v>0</v>
      </c>
      <c r="N1996" s="35">
        <f t="shared" si="165"/>
        <v>0</v>
      </c>
      <c r="O1996" s="35">
        <f t="shared" si="166"/>
        <v>0</v>
      </c>
      <c r="P1996" s="35">
        <f t="shared" si="167"/>
        <v>0</v>
      </c>
    </row>
    <row r="1997" spans="12:16" ht="15" hidden="1" customHeight="1">
      <c r="L1997" s="43" t="str">
        <f t="shared" si="163"/>
        <v>-</v>
      </c>
      <c r="M1997" s="35">
        <f t="shared" si="164"/>
        <v>0</v>
      </c>
      <c r="N1997" s="35">
        <f t="shared" si="165"/>
        <v>0</v>
      </c>
      <c r="O1997" s="35">
        <f t="shared" si="166"/>
        <v>0</v>
      </c>
      <c r="P1997" s="35">
        <f t="shared" si="167"/>
        <v>0</v>
      </c>
    </row>
    <row r="1998" spans="12:16" ht="15" hidden="1" customHeight="1">
      <c r="L1998" s="43" t="str">
        <f t="shared" si="163"/>
        <v>-</v>
      </c>
      <c r="M1998" s="35">
        <f t="shared" si="164"/>
        <v>0</v>
      </c>
      <c r="N1998" s="35">
        <f t="shared" si="165"/>
        <v>0</v>
      </c>
      <c r="O1998" s="35">
        <f t="shared" si="166"/>
        <v>0</v>
      </c>
      <c r="P1998" s="35">
        <f t="shared" si="167"/>
        <v>0</v>
      </c>
    </row>
    <row r="1999" spans="12:16" ht="15" hidden="1" customHeight="1">
      <c r="L1999" s="43" t="str">
        <f t="shared" si="163"/>
        <v>-</v>
      </c>
      <c r="M1999" s="35">
        <f t="shared" si="164"/>
        <v>0</v>
      </c>
      <c r="N1999" s="35">
        <f t="shared" si="165"/>
        <v>0</v>
      </c>
      <c r="O1999" s="35">
        <f t="shared" si="166"/>
        <v>0</v>
      </c>
      <c r="P1999" s="35">
        <f t="shared" si="167"/>
        <v>0</v>
      </c>
    </row>
    <row r="2000" spans="12:16" ht="15" hidden="1" customHeight="1">
      <c r="L2000" s="43" t="str">
        <f t="shared" si="163"/>
        <v>-</v>
      </c>
      <c r="M2000" s="35">
        <f t="shared" si="164"/>
        <v>0</v>
      </c>
      <c r="N2000" s="35">
        <f t="shared" si="165"/>
        <v>0</v>
      </c>
      <c r="O2000" s="35">
        <f t="shared" si="166"/>
        <v>0</v>
      </c>
      <c r="P2000" s="35">
        <f t="shared" si="167"/>
        <v>0</v>
      </c>
    </row>
    <row r="2001" spans="12:16" ht="15" hidden="1" customHeight="1">
      <c r="L2001" s="43" t="str">
        <f t="shared" si="163"/>
        <v>-</v>
      </c>
      <c r="M2001" s="35">
        <f t="shared" si="164"/>
        <v>0</v>
      </c>
      <c r="N2001" s="35">
        <f t="shared" si="165"/>
        <v>0</v>
      </c>
      <c r="O2001" s="35">
        <f t="shared" si="166"/>
        <v>0</v>
      </c>
      <c r="P2001" s="35">
        <f t="shared" si="167"/>
        <v>0</v>
      </c>
    </row>
    <row r="2002" spans="12:16" ht="15" hidden="1" customHeight="1">
      <c r="L2002" s="43" t="str">
        <f t="shared" si="163"/>
        <v>-</v>
      </c>
      <c r="M2002" s="35">
        <f t="shared" si="164"/>
        <v>0</v>
      </c>
      <c r="N2002" s="35">
        <f t="shared" si="165"/>
        <v>0</v>
      </c>
      <c r="O2002" s="35">
        <f t="shared" si="166"/>
        <v>0</v>
      </c>
      <c r="P2002" s="35">
        <f t="shared" si="167"/>
        <v>0</v>
      </c>
    </row>
    <row r="2003" spans="12:16" ht="15" hidden="1" customHeight="1">
      <c r="L2003" s="43" t="str">
        <f t="shared" si="163"/>
        <v>-</v>
      </c>
      <c r="M2003" s="35">
        <f t="shared" si="164"/>
        <v>0</v>
      </c>
      <c r="N2003" s="35">
        <f t="shared" si="165"/>
        <v>0</v>
      </c>
      <c r="O2003" s="35">
        <f t="shared" si="166"/>
        <v>0</v>
      </c>
      <c r="P2003" s="35">
        <f t="shared" si="167"/>
        <v>0</v>
      </c>
    </row>
    <row r="2004" spans="12:16" ht="15" hidden="1" customHeight="1">
      <c r="L2004" s="43" t="str">
        <f t="shared" si="163"/>
        <v>-</v>
      </c>
      <c r="M2004" s="35">
        <f t="shared" si="164"/>
        <v>0</v>
      </c>
      <c r="N2004" s="35">
        <f t="shared" si="165"/>
        <v>0</v>
      </c>
      <c r="O2004" s="35">
        <f t="shared" si="166"/>
        <v>0</v>
      </c>
      <c r="P2004" s="35">
        <f t="shared" si="167"/>
        <v>0</v>
      </c>
    </row>
    <row r="2005" spans="12:16" ht="15" hidden="1" customHeight="1">
      <c r="L2005" s="43" t="str">
        <f t="shared" si="163"/>
        <v>-</v>
      </c>
      <c r="M2005" s="35">
        <f t="shared" si="164"/>
        <v>0</v>
      </c>
      <c r="N2005" s="35">
        <f t="shared" si="165"/>
        <v>0</v>
      </c>
      <c r="O2005" s="35">
        <f t="shared" si="166"/>
        <v>0</v>
      </c>
      <c r="P2005" s="35">
        <f t="shared" si="167"/>
        <v>0</v>
      </c>
    </row>
    <row r="2006" spans="12:16" ht="15" hidden="1" customHeight="1">
      <c r="L2006" s="43" t="str">
        <f t="shared" si="163"/>
        <v>-</v>
      </c>
      <c r="M2006" s="35">
        <f t="shared" si="164"/>
        <v>0</v>
      </c>
      <c r="N2006" s="35">
        <f t="shared" si="165"/>
        <v>0</v>
      </c>
      <c r="O2006" s="35">
        <f t="shared" si="166"/>
        <v>0</v>
      </c>
      <c r="P2006" s="35">
        <f t="shared" si="167"/>
        <v>0</v>
      </c>
    </row>
    <row r="2007" spans="12:16" ht="15" hidden="1" customHeight="1">
      <c r="L2007" s="43" t="str">
        <f t="shared" si="163"/>
        <v>-</v>
      </c>
      <c r="M2007" s="35">
        <f t="shared" si="164"/>
        <v>0</v>
      </c>
      <c r="N2007" s="35">
        <f t="shared" si="165"/>
        <v>0</v>
      </c>
      <c r="O2007" s="35">
        <f t="shared" si="166"/>
        <v>0</v>
      </c>
      <c r="P2007" s="35">
        <f t="shared" si="167"/>
        <v>0</v>
      </c>
    </row>
    <row r="2008" spans="12:16" ht="15" hidden="1" customHeight="1">
      <c r="L2008" s="43" t="str">
        <f t="shared" si="163"/>
        <v>-</v>
      </c>
      <c r="M2008" s="35">
        <f t="shared" si="164"/>
        <v>0</v>
      </c>
      <c r="N2008" s="35">
        <f t="shared" si="165"/>
        <v>0</v>
      </c>
      <c r="O2008" s="35">
        <f t="shared" si="166"/>
        <v>0</v>
      </c>
      <c r="P2008" s="35">
        <f t="shared" si="167"/>
        <v>0</v>
      </c>
    </row>
    <row r="2009" spans="12:16" ht="15" hidden="1" customHeight="1">
      <c r="L2009" s="43" t="str">
        <f t="shared" si="163"/>
        <v>-</v>
      </c>
      <c r="M2009" s="35">
        <f t="shared" si="164"/>
        <v>0</v>
      </c>
      <c r="N2009" s="35">
        <f t="shared" si="165"/>
        <v>0</v>
      </c>
      <c r="O2009" s="35">
        <f t="shared" si="166"/>
        <v>0</v>
      </c>
      <c r="P2009" s="35">
        <f t="shared" si="167"/>
        <v>0</v>
      </c>
    </row>
    <row r="2010" spans="12:16" ht="15" hidden="1" customHeight="1">
      <c r="L2010" s="43" t="str">
        <f t="shared" si="163"/>
        <v>-</v>
      </c>
      <c r="M2010" s="35">
        <f t="shared" si="164"/>
        <v>0</v>
      </c>
      <c r="N2010" s="35">
        <f t="shared" si="165"/>
        <v>0</v>
      </c>
      <c r="O2010" s="35">
        <f t="shared" si="166"/>
        <v>0</v>
      </c>
      <c r="P2010" s="35">
        <f t="shared" si="167"/>
        <v>0</v>
      </c>
    </row>
    <row r="2011" spans="12:16" ht="15" hidden="1" customHeight="1">
      <c r="L2011" s="43" t="str">
        <f t="shared" si="163"/>
        <v>-</v>
      </c>
      <c r="M2011" s="35">
        <f t="shared" si="164"/>
        <v>0</v>
      </c>
      <c r="N2011" s="35">
        <f t="shared" si="165"/>
        <v>0</v>
      </c>
      <c r="O2011" s="35">
        <f t="shared" si="166"/>
        <v>0</v>
      </c>
      <c r="P2011" s="35">
        <f t="shared" si="167"/>
        <v>0</v>
      </c>
    </row>
    <row r="2012" spans="12:16" ht="15" hidden="1" customHeight="1">
      <c r="L2012" s="43" t="str">
        <f t="shared" si="163"/>
        <v>-</v>
      </c>
      <c r="M2012" s="35">
        <f t="shared" si="164"/>
        <v>0</v>
      </c>
      <c r="N2012" s="35">
        <f t="shared" si="165"/>
        <v>0</v>
      </c>
      <c r="O2012" s="35">
        <f t="shared" si="166"/>
        <v>0</v>
      </c>
      <c r="P2012" s="35">
        <f t="shared" si="167"/>
        <v>0</v>
      </c>
    </row>
    <row r="2013" spans="12:16" ht="15" hidden="1" customHeight="1">
      <c r="L2013" s="43" t="str">
        <f t="shared" si="163"/>
        <v>-</v>
      </c>
      <c r="M2013" s="35">
        <f t="shared" si="164"/>
        <v>0</v>
      </c>
      <c r="N2013" s="35">
        <f t="shared" si="165"/>
        <v>0</v>
      </c>
      <c r="O2013" s="35">
        <f t="shared" si="166"/>
        <v>0</v>
      </c>
      <c r="P2013" s="35">
        <f t="shared" si="167"/>
        <v>0</v>
      </c>
    </row>
    <row r="2014" spans="12:16" ht="15" hidden="1" customHeight="1">
      <c r="L2014" s="43" t="str">
        <f t="shared" si="163"/>
        <v>-</v>
      </c>
      <c r="M2014" s="35">
        <f t="shared" si="164"/>
        <v>0</v>
      </c>
      <c r="N2014" s="35">
        <f t="shared" si="165"/>
        <v>0</v>
      </c>
      <c r="O2014" s="35">
        <f t="shared" si="166"/>
        <v>0</v>
      </c>
      <c r="P2014" s="35">
        <f t="shared" si="167"/>
        <v>0</v>
      </c>
    </row>
    <row r="2015" spans="12:16" ht="15" hidden="1" customHeight="1">
      <c r="L2015" s="43" t="str">
        <f t="shared" ref="L2015:L2078" si="168">IFERROR(IF(MAX(L2014+1,Дата_получения_Займа+1)&gt;Дата_погашения_Займа,"-",MAX(L2014+1,Дата_получения_Займа+1)),"-")</f>
        <v>-</v>
      </c>
      <c r="M2015" s="35">
        <f t="shared" ref="M2015:M2078" si="169">IFERROR(VLOOKUP(L2015,$B$31:$E$59,4,FALSE),0)</f>
        <v>0</v>
      </c>
      <c r="N2015" s="35">
        <f t="shared" ref="N2015:N2078" si="170">IF(ISNUMBER(N2014),N2014-M2015,$E$20)</f>
        <v>0</v>
      </c>
      <c r="O2015" s="35">
        <f t="shared" ref="O2015:O2078" si="171">IFERROR(IF(ISNUMBER(N2014),N2014,$E$20)*IF(L2015&gt;=$J$20,$E$25,$E$24)/IF(MOD(YEAR(L2015),4),365,366)*IF(ISBLANK(L2014),L2015-$E$22,L2015-L2014),0)</f>
        <v>0</v>
      </c>
      <c r="P2015" s="35">
        <f t="shared" ref="P2015:P2078" si="172">IFERROR(IF(ISNUMBER(N2014),N2014,$E$20)*3%/IF(MOD(YEAR(L2015),4),365,366)*IF(ISBLANK(L2014),(L2015-$E$22),L2015-L2014),0)</f>
        <v>0</v>
      </c>
    </row>
    <row r="2016" spans="12:16" ht="15" hidden="1" customHeight="1">
      <c r="L2016" s="43" t="str">
        <f t="shared" si="168"/>
        <v>-</v>
      </c>
      <c r="M2016" s="35">
        <f t="shared" si="169"/>
        <v>0</v>
      </c>
      <c r="N2016" s="35">
        <f t="shared" si="170"/>
        <v>0</v>
      </c>
      <c r="O2016" s="35">
        <f t="shared" si="171"/>
        <v>0</v>
      </c>
      <c r="P2016" s="35">
        <f t="shared" si="172"/>
        <v>0</v>
      </c>
    </row>
    <row r="2017" spans="12:16" ht="15" hidden="1" customHeight="1">
      <c r="L2017" s="43" t="str">
        <f t="shared" si="168"/>
        <v>-</v>
      </c>
      <c r="M2017" s="35">
        <f t="shared" si="169"/>
        <v>0</v>
      </c>
      <c r="N2017" s="35">
        <f t="shared" si="170"/>
        <v>0</v>
      </c>
      <c r="O2017" s="35">
        <f t="shared" si="171"/>
        <v>0</v>
      </c>
      <c r="P2017" s="35">
        <f t="shared" si="172"/>
        <v>0</v>
      </c>
    </row>
    <row r="2018" spans="12:16" ht="15" hidden="1" customHeight="1">
      <c r="L2018" s="43" t="str">
        <f t="shared" si="168"/>
        <v>-</v>
      </c>
      <c r="M2018" s="35">
        <f t="shared" si="169"/>
        <v>0</v>
      </c>
      <c r="N2018" s="35">
        <f t="shared" si="170"/>
        <v>0</v>
      </c>
      <c r="O2018" s="35">
        <f t="shared" si="171"/>
        <v>0</v>
      </c>
      <c r="P2018" s="35">
        <f t="shared" si="172"/>
        <v>0</v>
      </c>
    </row>
    <row r="2019" spans="12:16" ht="15" hidden="1" customHeight="1">
      <c r="L2019" s="43" t="str">
        <f t="shared" si="168"/>
        <v>-</v>
      </c>
      <c r="M2019" s="35">
        <f t="shared" si="169"/>
        <v>0</v>
      </c>
      <c r="N2019" s="35">
        <f t="shared" si="170"/>
        <v>0</v>
      </c>
      <c r="O2019" s="35">
        <f t="shared" si="171"/>
        <v>0</v>
      </c>
      <c r="P2019" s="35">
        <f t="shared" si="172"/>
        <v>0</v>
      </c>
    </row>
    <row r="2020" spans="12:16" ht="15" hidden="1" customHeight="1">
      <c r="L2020" s="43" t="str">
        <f t="shared" si="168"/>
        <v>-</v>
      </c>
      <c r="M2020" s="35">
        <f t="shared" si="169"/>
        <v>0</v>
      </c>
      <c r="N2020" s="35">
        <f t="shared" si="170"/>
        <v>0</v>
      </c>
      <c r="O2020" s="35">
        <f t="shared" si="171"/>
        <v>0</v>
      </c>
      <c r="P2020" s="35">
        <f t="shared" si="172"/>
        <v>0</v>
      </c>
    </row>
    <row r="2021" spans="12:16" ht="15" hidden="1" customHeight="1">
      <c r="L2021" s="43" t="str">
        <f t="shared" si="168"/>
        <v>-</v>
      </c>
      <c r="M2021" s="35">
        <f t="shared" si="169"/>
        <v>0</v>
      </c>
      <c r="N2021" s="35">
        <f t="shared" si="170"/>
        <v>0</v>
      </c>
      <c r="O2021" s="35">
        <f t="shared" si="171"/>
        <v>0</v>
      </c>
      <c r="P2021" s="35">
        <f t="shared" si="172"/>
        <v>0</v>
      </c>
    </row>
    <row r="2022" spans="12:16" ht="15" hidden="1" customHeight="1">
      <c r="L2022" s="43" t="str">
        <f t="shared" si="168"/>
        <v>-</v>
      </c>
      <c r="M2022" s="35">
        <f t="shared" si="169"/>
        <v>0</v>
      </c>
      <c r="N2022" s="35">
        <f t="shared" si="170"/>
        <v>0</v>
      </c>
      <c r="O2022" s="35">
        <f t="shared" si="171"/>
        <v>0</v>
      </c>
      <c r="P2022" s="35">
        <f t="shared" si="172"/>
        <v>0</v>
      </c>
    </row>
    <row r="2023" spans="12:16" ht="15" hidden="1" customHeight="1">
      <c r="L2023" s="43" t="str">
        <f t="shared" si="168"/>
        <v>-</v>
      </c>
      <c r="M2023" s="35">
        <f t="shared" si="169"/>
        <v>0</v>
      </c>
      <c r="N2023" s="35">
        <f t="shared" si="170"/>
        <v>0</v>
      </c>
      <c r="O2023" s="35">
        <f t="shared" si="171"/>
        <v>0</v>
      </c>
      <c r="P2023" s="35">
        <f t="shared" si="172"/>
        <v>0</v>
      </c>
    </row>
    <row r="2024" spans="12:16" ht="15" hidden="1" customHeight="1">
      <c r="L2024" s="43" t="str">
        <f t="shared" si="168"/>
        <v>-</v>
      </c>
      <c r="M2024" s="35">
        <f t="shared" si="169"/>
        <v>0</v>
      </c>
      <c r="N2024" s="35">
        <f t="shared" si="170"/>
        <v>0</v>
      </c>
      <c r="O2024" s="35">
        <f t="shared" si="171"/>
        <v>0</v>
      </c>
      <c r="P2024" s="35">
        <f t="shared" si="172"/>
        <v>0</v>
      </c>
    </row>
    <row r="2025" spans="12:16" ht="15" hidden="1" customHeight="1">
      <c r="L2025" s="43" t="str">
        <f t="shared" si="168"/>
        <v>-</v>
      </c>
      <c r="M2025" s="35">
        <f t="shared" si="169"/>
        <v>0</v>
      </c>
      <c r="N2025" s="35">
        <f t="shared" si="170"/>
        <v>0</v>
      </c>
      <c r="O2025" s="35">
        <f t="shared" si="171"/>
        <v>0</v>
      </c>
      <c r="P2025" s="35">
        <f t="shared" si="172"/>
        <v>0</v>
      </c>
    </row>
    <row r="2026" spans="12:16" ht="15" hidden="1" customHeight="1">
      <c r="L2026" s="43" t="str">
        <f t="shared" si="168"/>
        <v>-</v>
      </c>
      <c r="M2026" s="35">
        <f t="shared" si="169"/>
        <v>0</v>
      </c>
      <c r="N2026" s="35">
        <f t="shared" si="170"/>
        <v>0</v>
      </c>
      <c r="O2026" s="35">
        <f t="shared" si="171"/>
        <v>0</v>
      </c>
      <c r="P2026" s="35">
        <f t="shared" si="172"/>
        <v>0</v>
      </c>
    </row>
    <row r="2027" spans="12:16" ht="15" hidden="1" customHeight="1">
      <c r="L2027" s="43" t="str">
        <f t="shared" si="168"/>
        <v>-</v>
      </c>
      <c r="M2027" s="35">
        <f t="shared" si="169"/>
        <v>0</v>
      </c>
      <c r="N2027" s="35">
        <f t="shared" si="170"/>
        <v>0</v>
      </c>
      <c r="O2027" s="35">
        <f t="shared" si="171"/>
        <v>0</v>
      </c>
      <c r="P2027" s="35">
        <f t="shared" si="172"/>
        <v>0</v>
      </c>
    </row>
    <row r="2028" spans="12:16" ht="15" hidden="1" customHeight="1">
      <c r="L2028" s="43" t="str">
        <f t="shared" si="168"/>
        <v>-</v>
      </c>
      <c r="M2028" s="35">
        <f t="shared" si="169"/>
        <v>0</v>
      </c>
      <c r="N2028" s="35">
        <f t="shared" si="170"/>
        <v>0</v>
      </c>
      <c r="O2028" s="35">
        <f t="shared" si="171"/>
        <v>0</v>
      </c>
      <c r="P2028" s="35">
        <f t="shared" si="172"/>
        <v>0</v>
      </c>
    </row>
    <row r="2029" spans="12:16" ht="15" hidden="1" customHeight="1">
      <c r="L2029" s="43" t="str">
        <f t="shared" si="168"/>
        <v>-</v>
      </c>
      <c r="M2029" s="35">
        <f t="shared" si="169"/>
        <v>0</v>
      </c>
      <c r="N2029" s="35">
        <f t="shared" si="170"/>
        <v>0</v>
      </c>
      <c r="O2029" s="35">
        <f t="shared" si="171"/>
        <v>0</v>
      </c>
      <c r="P2029" s="35">
        <f t="shared" si="172"/>
        <v>0</v>
      </c>
    </row>
    <row r="2030" spans="12:16" ht="15" hidden="1" customHeight="1">
      <c r="L2030" s="43" t="str">
        <f t="shared" si="168"/>
        <v>-</v>
      </c>
      <c r="M2030" s="35">
        <f t="shared" si="169"/>
        <v>0</v>
      </c>
      <c r="N2030" s="35">
        <f t="shared" si="170"/>
        <v>0</v>
      </c>
      <c r="O2030" s="35">
        <f t="shared" si="171"/>
        <v>0</v>
      </c>
      <c r="P2030" s="35">
        <f t="shared" si="172"/>
        <v>0</v>
      </c>
    </row>
    <row r="2031" spans="12:16" ht="15" hidden="1" customHeight="1">
      <c r="L2031" s="43" t="str">
        <f t="shared" si="168"/>
        <v>-</v>
      </c>
      <c r="M2031" s="35">
        <f t="shared" si="169"/>
        <v>0</v>
      </c>
      <c r="N2031" s="35">
        <f t="shared" si="170"/>
        <v>0</v>
      </c>
      <c r="O2031" s="35">
        <f t="shared" si="171"/>
        <v>0</v>
      </c>
      <c r="P2031" s="35">
        <f t="shared" si="172"/>
        <v>0</v>
      </c>
    </row>
    <row r="2032" spans="12:16" ht="15" hidden="1" customHeight="1">
      <c r="L2032" s="43" t="str">
        <f t="shared" si="168"/>
        <v>-</v>
      </c>
      <c r="M2032" s="35">
        <f t="shared" si="169"/>
        <v>0</v>
      </c>
      <c r="N2032" s="35">
        <f t="shared" si="170"/>
        <v>0</v>
      </c>
      <c r="O2032" s="35">
        <f t="shared" si="171"/>
        <v>0</v>
      </c>
      <c r="P2032" s="35">
        <f t="shared" si="172"/>
        <v>0</v>
      </c>
    </row>
    <row r="2033" spans="12:16" ht="15" hidden="1" customHeight="1">
      <c r="L2033" s="43" t="str">
        <f t="shared" si="168"/>
        <v>-</v>
      </c>
      <c r="M2033" s="35">
        <f t="shared" si="169"/>
        <v>0</v>
      </c>
      <c r="N2033" s="35">
        <f t="shared" si="170"/>
        <v>0</v>
      </c>
      <c r="O2033" s="35">
        <f t="shared" si="171"/>
        <v>0</v>
      </c>
      <c r="P2033" s="35">
        <f t="shared" si="172"/>
        <v>0</v>
      </c>
    </row>
    <row r="2034" spans="12:16" ht="15" hidden="1" customHeight="1">
      <c r="L2034" s="43" t="str">
        <f t="shared" si="168"/>
        <v>-</v>
      </c>
      <c r="M2034" s="35">
        <f t="shared" si="169"/>
        <v>0</v>
      </c>
      <c r="N2034" s="35">
        <f t="shared" si="170"/>
        <v>0</v>
      </c>
      <c r="O2034" s="35">
        <f t="shared" si="171"/>
        <v>0</v>
      </c>
      <c r="P2034" s="35">
        <f t="shared" si="172"/>
        <v>0</v>
      </c>
    </row>
    <row r="2035" spans="12:16" ht="15" hidden="1" customHeight="1">
      <c r="L2035" s="43" t="str">
        <f t="shared" si="168"/>
        <v>-</v>
      </c>
      <c r="M2035" s="35">
        <f t="shared" si="169"/>
        <v>0</v>
      </c>
      <c r="N2035" s="35">
        <f t="shared" si="170"/>
        <v>0</v>
      </c>
      <c r="O2035" s="35">
        <f t="shared" si="171"/>
        <v>0</v>
      </c>
      <c r="P2035" s="35">
        <f t="shared" si="172"/>
        <v>0</v>
      </c>
    </row>
    <row r="2036" spans="12:16" ht="15" hidden="1" customHeight="1">
      <c r="L2036" s="43" t="str">
        <f t="shared" si="168"/>
        <v>-</v>
      </c>
      <c r="M2036" s="35">
        <f t="shared" si="169"/>
        <v>0</v>
      </c>
      <c r="N2036" s="35">
        <f t="shared" si="170"/>
        <v>0</v>
      </c>
      <c r="O2036" s="35">
        <f t="shared" si="171"/>
        <v>0</v>
      </c>
      <c r="P2036" s="35">
        <f t="shared" si="172"/>
        <v>0</v>
      </c>
    </row>
    <row r="2037" spans="12:16" ht="15" hidden="1" customHeight="1">
      <c r="L2037" s="43" t="str">
        <f t="shared" si="168"/>
        <v>-</v>
      </c>
      <c r="M2037" s="35">
        <f t="shared" si="169"/>
        <v>0</v>
      </c>
      <c r="N2037" s="35">
        <f t="shared" si="170"/>
        <v>0</v>
      </c>
      <c r="O2037" s="35">
        <f t="shared" si="171"/>
        <v>0</v>
      </c>
      <c r="P2037" s="35">
        <f t="shared" si="172"/>
        <v>0</v>
      </c>
    </row>
    <row r="2038" spans="12:16" ht="15" hidden="1" customHeight="1">
      <c r="L2038" s="43" t="str">
        <f t="shared" si="168"/>
        <v>-</v>
      </c>
      <c r="M2038" s="35">
        <f t="shared" si="169"/>
        <v>0</v>
      </c>
      <c r="N2038" s="35">
        <f t="shared" si="170"/>
        <v>0</v>
      </c>
      <c r="O2038" s="35">
        <f t="shared" si="171"/>
        <v>0</v>
      </c>
      <c r="P2038" s="35">
        <f t="shared" si="172"/>
        <v>0</v>
      </c>
    </row>
    <row r="2039" spans="12:16" ht="15" hidden="1" customHeight="1">
      <c r="L2039" s="43" t="str">
        <f t="shared" si="168"/>
        <v>-</v>
      </c>
      <c r="M2039" s="35">
        <f t="shared" si="169"/>
        <v>0</v>
      </c>
      <c r="N2039" s="35">
        <f t="shared" si="170"/>
        <v>0</v>
      </c>
      <c r="O2039" s="35">
        <f t="shared" si="171"/>
        <v>0</v>
      </c>
      <c r="P2039" s="35">
        <f t="shared" si="172"/>
        <v>0</v>
      </c>
    </row>
    <row r="2040" spans="12:16" ht="15" hidden="1" customHeight="1">
      <c r="L2040" s="43" t="str">
        <f t="shared" si="168"/>
        <v>-</v>
      </c>
      <c r="M2040" s="35">
        <f t="shared" si="169"/>
        <v>0</v>
      </c>
      <c r="N2040" s="35">
        <f t="shared" si="170"/>
        <v>0</v>
      </c>
      <c r="O2040" s="35">
        <f t="shared" si="171"/>
        <v>0</v>
      </c>
      <c r="P2040" s="35">
        <f t="shared" si="172"/>
        <v>0</v>
      </c>
    </row>
    <row r="2041" spans="12:16" ht="15" hidden="1" customHeight="1">
      <c r="L2041" s="43" t="str">
        <f t="shared" si="168"/>
        <v>-</v>
      </c>
      <c r="M2041" s="35">
        <f t="shared" si="169"/>
        <v>0</v>
      </c>
      <c r="N2041" s="35">
        <f t="shared" si="170"/>
        <v>0</v>
      </c>
      <c r="O2041" s="35">
        <f t="shared" si="171"/>
        <v>0</v>
      </c>
      <c r="P2041" s="35">
        <f t="shared" si="172"/>
        <v>0</v>
      </c>
    </row>
    <row r="2042" spans="12:16" ht="15" hidden="1" customHeight="1">
      <c r="L2042" s="43" t="str">
        <f t="shared" si="168"/>
        <v>-</v>
      </c>
      <c r="M2042" s="35">
        <f t="shared" si="169"/>
        <v>0</v>
      </c>
      <c r="N2042" s="35">
        <f t="shared" si="170"/>
        <v>0</v>
      </c>
      <c r="O2042" s="35">
        <f t="shared" si="171"/>
        <v>0</v>
      </c>
      <c r="P2042" s="35">
        <f t="shared" si="172"/>
        <v>0</v>
      </c>
    </row>
    <row r="2043" spans="12:16" ht="15" hidden="1" customHeight="1">
      <c r="L2043" s="43" t="str">
        <f t="shared" si="168"/>
        <v>-</v>
      </c>
      <c r="M2043" s="35">
        <f t="shared" si="169"/>
        <v>0</v>
      </c>
      <c r="N2043" s="35">
        <f t="shared" si="170"/>
        <v>0</v>
      </c>
      <c r="O2043" s="35">
        <f t="shared" si="171"/>
        <v>0</v>
      </c>
      <c r="P2043" s="35">
        <f t="shared" si="172"/>
        <v>0</v>
      </c>
    </row>
    <row r="2044" spans="12:16" ht="15" hidden="1" customHeight="1">
      <c r="L2044" s="43" t="str">
        <f t="shared" si="168"/>
        <v>-</v>
      </c>
      <c r="M2044" s="35">
        <f t="shared" si="169"/>
        <v>0</v>
      </c>
      <c r="N2044" s="35">
        <f t="shared" si="170"/>
        <v>0</v>
      </c>
      <c r="O2044" s="35">
        <f t="shared" si="171"/>
        <v>0</v>
      </c>
      <c r="P2044" s="35">
        <f t="shared" si="172"/>
        <v>0</v>
      </c>
    </row>
    <row r="2045" spans="12:16" ht="15" hidden="1" customHeight="1">
      <c r="L2045" s="43" t="str">
        <f t="shared" si="168"/>
        <v>-</v>
      </c>
      <c r="M2045" s="35">
        <f t="shared" si="169"/>
        <v>0</v>
      </c>
      <c r="N2045" s="35">
        <f t="shared" si="170"/>
        <v>0</v>
      </c>
      <c r="O2045" s="35">
        <f t="shared" si="171"/>
        <v>0</v>
      </c>
      <c r="P2045" s="35">
        <f t="shared" si="172"/>
        <v>0</v>
      </c>
    </row>
    <row r="2046" spans="12:16" ht="15" hidden="1" customHeight="1">
      <c r="L2046" s="43" t="str">
        <f t="shared" si="168"/>
        <v>-</v>
      </c>
      <c r="M2046" s="35">
        <f t="shared" si="169"/>
        <v>0</v>
      </c>
      <c r="N2046" s="35">
        <f t="shared" si="170"/>
        <v>0</v>
      </c>
      <c r="O2046" s="35">
        <f t="shared" si="171"/>
        <v>0</v>
      </c>
      <c r="P2046" s="35">
        <f t="shared" si="172"/>
        <v>0</v>
      </c>
    </row>
    <row r="2047" spans="12:16" ht="15" hidden="1" customHeight="1">
      <c r="L2047" s="43" t="str">
        <f t="shared" si="168"/>
        <v>-</v>
      </c>
      <c r="M2047" s="35">
        <f t="shared" si="169"/>
        <v>0</v>
      </c>
      <c r="N2047" s="35">
        <f t="shared" si="170"/>
        <v>0</v>
      </c>
      <c r="O2047" s="35">
        <f t="shared" si="171"/>
        <v>0</v>
      </c>
      <c r="P2047" s="35">
        <f t="shared" si="172"/>
        <v>0</v>
      </c>
    </row>
    <row r="2048" spans="12:16" ht="15" hidden="1" customHeight="1">
      <c r="L2048" s="43" t="str">
        <f t="shared" si="168"/>
        <v>-</v>
      </c>
      <c r="M2048" s="35">
        <f t="shared" si="169"/>
        <v>0</v>
      </c>
      <c r="N2048" s="35">
        <f t="shared" si="170"/>
        <v>0</v>
      </c>
      <c r="O2048" s="35">
        <f t="shared" si="171"/>
        <v>0</v>
      </c>
      <c r="P2048" s="35">
        <f t="shared" si="172"/>
        <v>0</v>
      </c>
    </row>
    <row r="2049" spans="12:16" ht="15" hidden="1" customHeight="1">
      <c r="L2049" s="43" t="str">
        <f t="shared" si="168"/>
        <v>-</v>
      </c>
      <c r="M2049" s="35">
        <f t="shared" si="169"/>
        <v>0</v>
      </c>
      <c r="N2049" s="35">
        <f t="shared" si="170"/>
        <v>0</v>
      </c>
      <c r="O2049" s="35">
        <f t="shared" si="171"/>
        <v>0</v>
      </c>
      <c r="P2049" s="35">
        <f t="shared" si="172"/>
        <v>0</v>
      </c>
    </row>
    <row r="2050" spans="12:16" ht="15" hidden="1" customHeight="1">
      <c r="L2050" s="43" t="str">
        <f t="shared" si="168"/>
        <v>-</v>
      </c>
      <c r="M2050" s="35">
        <f t="shared" si="169"/>
        <v>0</v>
      </c>
      <c r="N2050" s="35">
        <f t="shared" si="170"/>
        <v>0</v>
      </c>
      <c r="O2050" s="35">
        <f t="shared" si="171"/>
        <v>0</v>
      </c>
      <c r="P2050" s="35">
        <f t="shared" si="172"/>
        <v>0</v>
      </c>
    </row>
    <row r="2051" spans="12:16" ht="15" hidden="1" customHeight="1">
      <c r="L2051" s="43" t="str">
        <f t="shared" si="168"/>
        <v>-</v>
      </c>
      <c r="M2051" s="35">
        <f t="shared" si="169"/>
        <v>0</v>
      </c>
      <c r="N2051" s="35">
        <f t="shared" si="170"/>
        <v>0</v>
      </c>
      <c r="O2051" s="35">
        <f t="shared" si="171"/>
        <v>0</v>
      </c>
      <c r="P2051" s="35">
        <f t="shared" si="172"/>
        <v>0</v>
      </c>
    </row>
    <row r="2052" spans="12:16" ht="15" hidden="1" customHeight="1">
      <c r="L2052" s="43" t="str">
        <f t="shared" si="168"/>
        <v>-</v>
      </c>
      <c r="M2052" s="35">
        <f t="shared" si="169"/>
        <v>0</v>
      </c>
      <c r="N2052" s="35">
        <f t="shared" si="170"/>
        <v>0</v>
      </c>
      <c r="O2052" s="35">
        <f t="shared" si="171"/>
        <v>0</v>
      </c>
      <c r="P2052" s="35">
        <f t="shared" si="172"/>
        <v>0</v>
      </c>
    </row>
    <row r="2053" spans="12:16" ht="15" hidden="1" customHeight="1">
      <c r="L2053" s="43" t="str">
        <f t="shared" si="168"/>
        <v>-</v>
      </c>
      <c r="M2053" s="35">
        <f t="shared" si="169"/>
        <v>0</v>
      </c>
      <c r="N2053" s="35">
        <f t="shared" si="170"/>
        <v>0</v>
      </c>
      <c r="O2053" s="35">
        <f t="shared" si="171"/>
        <v>0</v>
      </c>
      <c r="P2053" s="35">
        <f t="shared" si="172"/>
        <v>0</v>
      </c>
    </row>
    <row r="2054" spans="12:16" ht="15" hidden="1" customHeight="1">
      <c r="L2054" s="43" t="str">
        <f t="shared" si="168"/>
        <v>-</v>
      </c>
      <c r="M2054" s="35">
        <f t="shared" si="169"/>
        <v>0</v>
      </c>
      <c r="N2054" s="35">
        <f t="shared" si="170"/>
        <v>0</v>
      </c>
      <c r="O2054" s="35">
        <f t="shared" si="171"/>
        <v>0</v>
      </c>
      <c r="P2054" s="35">
        <f t="shared" si="172"/>
        <v>0</v>
      </c>
    </row>
    <row r="2055" spans="12:16" ht="15" hidden="1" customHeight="1">
      <c r="L2055" s="43" t="str">
        <f t="shared" si="168"/>
        <v>-</v>
      </c>
      <c r="M2055" s="35">
        <f t="shared" si="169"/>
        <v>0</v>
      </c>
      <c r="N2055" s="35">
        <f t="shared" si="170"/>
        <v>0</v>
      </c>
      <c r="O2055" s="35">
        <f t="shared" si="171"/>
        <v>0</v>
      </c>
      <c r="P2055" s="35">
        <f t="shared" si="172"/>
        <v>0</v>
      </c>
    </row>
    <row r="2056" spans="12:16" ht="15" hidden="1" customHeight="1">
      <c r="L2056" s="43" t="str">
        <f t="shared" si="168"/>
        <v>-</v>
      </c>
      <c r="M2056" s="35">
        <f t="shared" si="169"/>
        <v>0</v>
      </c>
      <c r="N2056" s="35">
        <f t="shared" si="170"/>
        <v>0</v>
      </c>
      <c r="O2056" s="35">
        <f t="shared" si="171"/>
        <v>0</v>
      </c>
      <c r="P2056" s="35">
        <f t="shared" si="172"/>
        <v>0</v>
      </c>
    </row>
    <row r="2057" spans="12:16" ht="15" hidden="1" customHeight="1">
      <c r="L2057" s="43" t="str">
        <f t="shared" si="168"/>
        <v>-</v>
      </c>
      <c r="M2057" s="35">
        <f t="shared" si="169"/>
        <v>0</v>
      </c>
      <c r="N2057" s="35">
        <f t="shared" si="170"/>
        <v>0</v>
      </c>
      <c r="O2057" s="35">
        <f t="shared" si="171"/>
        <v>0</v>
      </c>
      <c r="P2057" s="35">
        <f t="shared" si="172"/>
        <v>0</v>
      </c>
    </row>
    <row r="2058" spans="12:16" ht="15" hidden="1" customHeight="1">
      <c r="L2058" s="43" t="str">
        <f t="shared" si="168"/>
        <v>-</v>
      </c>
      <c r="M2058" s="35">
        <f t="shared" si="169"/>
        <v>0</v>
      </c>
      <c r="N2058" s="35">
        <f t="shared" si="170"/>
        <v>0</v>
      </c>
      <c r="O2058" s="35">
        <f t="shared" si="171"/>
        <v>0</v>
      </c>
      <c r="P2058" s="35">
        <f t="shared" si="172"/>
        <v>0</v>
      </c>
    </row>
    <row r="2059" spans="12:16" ht="15" hidden="1" customHeight="1">
      <c r="L2059" s="43" t="str">
        <f t="shared" si="168"/>
        <v>-</v>
      </c>
      <c r="M2059" s="35">
        <f t="shared" si="169"/>
        <v>0</v>
      </c>
      <c r="N2059" s="35">
        <f t="shared" si="170"/>
        <v>0</v>
      </c>
      <c r="O2059" s="35">
        <f t="shared" si="171"/>
        <v>0</v>
      </c>
      <c r="P2059" s="35">
        <f t="shared" si="172"/>
        <v>0</v>
      </c>
    </row>
    <row r="2060" spans="12:16" ht="15" hidden="1" customHeight="1">
      <c r="L2060" s="43" t="str">
        <f t="shared" si="168"/>
        <v>-</v>
      </c>
      <c r="M2060" s="35">
        <f t="shared" si="169"/>
        <v>0</v>
      </c>
      <c r="N2060" s="35">
        <f t="shared" si="170"/>
        <v>0</v>
      </c>
      <c r="O2060" s="35">
        <f t="shared" si="171"/>
        <v>0</v>
      </c>
      <c r="P2060" s="35">
        <f t="shared" si="172"/>
        <v>0</v>
      </c>
    </row>
    <row r="2061" spans="12:16" ht="15" hidden="1" customHeight="1">
      <c r="L2061" s="43" t="str">
        <f t="shared" si="168"/>
        <v>-</v>
      </c>
      <c r="M2061" s="35">
        <f t="shared" si="169"/>
        <v>0</v>
      </c>
      <c r="N2061" s="35">
        <f t="shared" si="170"/>
        <v>0</v>
      </c>
      <c r="O2061" s="35">
        <f t="shared" si="171"/>
        <v>0</v>
      </c>
      <c r="P2061" s="35">
        <f t="shared" si="172"/>
        <v>0</v>
      </c>
    </row>
    <row r="2062" spans="12:16" ht="15" hidden="1" customHeight="1">
      <c r="L2062" s="43" t="str">
        <f t="shared" si="168"/>
        <v>-</v>
      </c>
      <c r="M2062" s="35">
        <f t="shared" si="169"/>
        <v>0</v>
      </c>
      <c r="N2062" s="35">
        <f t="shared" si="170"/>
        <v>0</v>
      </c>
      <c r="O2062" s="35">
        <f t="shared" si="171"/>
        <v>0</v>
      </c>
      <c r="P2062" s="35">
        <f t="shared" si="172"/>
        <v>0</v>
      </c>
    </row>
    <row r="2063" spans="12:16" ht="15" hidden="1" customHeight="1">
      <c r="L2063" s="43" t="str">
        <f t="shared" si="168"/>
        <v>-</v>
      </c>
      <c r="M2063" s="35">
        <f t="shared" si="169"/>
        <v>0</v>
      </c>
      <c r="N2063" s="35">
        <f t="shared" si="170"/>
        <v>0</v>
      </c>
      <c r="O2063" s="35">
        <f t="shared" si="171"/>
        <v>0</v>
      </c>
      <c r="P2063" s="35">
        <f t="shared" si="172"/>
        <v>0</v>
      </c>
    </row>
    <row r="2064" spans="12:16" ht="15" hidden="1" customHeight="1">
      <c r="L2064" s="43" t="str">
        <f t="shared" si="168"/>
        <v>-</v>
      </c>
      <c r="M2064" s="35">
        <f t="shared" si="169"/>
        <v>0</v>
      </c>
      <c r="N2064" s="35">
        <f t="shared" si="170"/>
        <v>0</v>
      </c>
      <c r="O2064" s="35">
        <f t="shared" si="171"/>
        <v>0</v>
      </c>
      <c r="P2064" s="35">
        <f t="shared" si="172"/>
        <v>0</v>
      </c>
    </row>
    <row r="2065" spans="12:16" ht="15" hidden="1" customHeight="1">
      <c r="L2065" s="43" t="str">
        <f t="shared" si="168"/>
        <v>-</v>
      </c>
      <c r="M2065" s="35">
        <f t="shared" si="169"/>
        <v>0</v>
      </c>
      <c r="N2065" s="35">
        <f t="shared" si="170"/>
        <v>0</v>
      </c>
      <c r="O2065" s="35">
        <f t="shared" si="171"/>
        <v>0</v>
      </c>
      <c r="P2065" s="35">
        <f t="shared" si="172"/>
        <v>0</v>
      </c>
    </row>
    <row r="2066" spans="12:16" ht="15" hidden="1" customHeight="1">
      <c r="L2066" s="43" t="str">
        <f t="shared" si="168"/>
        <v>-</v>
      </c>
      <c r="M2066" s="35">
        <f t="shared" si="169"/>
        <v>0</v>
      </c>
      <c r="N2066" s="35">
        <f t="shared" si="170"/>
        <v>0</v>
      </c>
      <c r="O2066" s="35">
        <f t="shared" si="171"/>
        <v>0</v>
      </c>
      <c r="P2066" s="35">
        <f t="shared" si="172"/>
        <v>0</v>
      </c>
    </row>
    <row r="2067" spans="12:16" ht="15" hidden="1" customHeight="1">
      <c r="L2067" s="43" t="str">
        <f t="shared" si="168"/>
        <v>-</v>
      </c>
      <c r="M2067" s="35">
        <f t="shared" si="169"/>
        <v>0</v>
      </c>
      <c r="N2067" s="35">
        <f t="shared" si="170"/>
        <v>0</v>
      </c>
      <c r="O2067" s="35">
        <f t="shared" si="171"/>
        <v>0</v>
      </c>
      <c r="P2067" s="35">
        <f t="shared" si="172"/>
        <v>0</v>
      </c>
    </row>
    <row r="2068" spans="12:16" ht="15" hidden="1" customHeight="1">
      <c r="L2068" s="43" t="str">
        <f t="shared" si="168"/>
        <v>-</v>
      </c>
      <c r="M2068" s="35">
        <f t="shared" si="169"/>
        <v>0</v>
      </c>
      <c r="N2068" s="35">
        <f t="shared" si="170"/>
        <v>0</v>
      </c>
      <c r="O2068" s="35">
        <f t="shared" si="171"/>
        <v>0</v>
      </c>
      <c r="P2068" s="35">
        <f t="shared" si="172"/>
        <v>0</v>
      </c>
    </row>
    <row r="2069" spans="12:16" ht="15" hidden="1" customHeight="1">
      <c r="L2069" s="43" t="str">
        <f t="shared" si="168"/>
        <v>-</v>
      </c>
      <c r="M2069" s="35">
        <f t="shared" si="169"/>
        <v>0</v>
      </c>
      <c r="N2069" s="35">
        <f t="shared" si="170"/>
        <v>0</v>
      </c>
      <c r="O2069" s="35">
        <f t="shared" si="171"/>
        <v>0</v>
      </c>
      <c r="P2069" s="35">
        <f t="shared" si="172"/>
        <v>0</v>
      </c>
    </row>
    <row r="2070" spans="12:16" ht="15" hidden="1" customHeight="1">
      <c r="L2070" s="43" t="str">
        <f t="shared" si="168"/>
        <v>-</v>
      </c>
      <c r="M2070" s="35">
        <f t="shared" si="169"/>
        <v>0</v>
      </c>
      <c r="N2070" s="35">
        <f t="shared" si="170"/>
        <v>0</v>
      </c>
      <c r="O2070" s="35">
        <f t="shared" si="171"/>
        <v>0</v>
      </c>
      <c r="P2070" s="35">
        <f t="shared" si="172"/>
        <v>0</v>
      </c>
    </row>
    <row r="2071" spans="12:16" ht="15" hidden="1" customHeight="1">
      <c r="L2071" s="43" t="str">
        <f t="shared" si="168"/>
        <v>-</v>
      </c>
      <c r="M2071" s="35">
        <f t="shared" si="169"/>
        <v>0</v>
      </c>
      <c r="N2071" s="35">
        <f t="shared" si="170"/>
        <v>0</v>
      </c>
      <c r="O2071" s="35">
        <f t="shared" si="171"/>
        <v>0</v>
      </c>
      <c r="P2071" s="35">
        <f t="shared" si="172"/>
        <v>0</v>
      </c>
    </row>
    <row r="2072" spans="12:16" ht="15" hidden="1" customHeight="1">
      <c r="L2072" s="43" t="str">
        <f t="shared" si="168"/>
        <v>-</v>
      </c>
      <c r="M2072" s="35">
        <f t="shared" si="169"/>
        <v>0</v>
      </c>
      <c r="N2072" s="35">
        <f t="shared" si="170"/>
        <v>0</v>
      </c>
      <c r="O2072" s="35">
        <f t="shared" si="171"/>
        <v>0</v>
      </c>
      <c r="P2072" s="35">
        <f t="shared" si="172"/>
        <v>0</v>
      </c>
    </row>
    <row r="2073" spans="12:16" ht="15" hidden="1" customHeight="1">
      <c r="L2073" s="43" t="str">
        <f t="shared" si="168"/>
        <v>-</v>
      </c>
      <c r="M2073" s="35">
        <f t="shared" si="169"/>
        <v>0</v>
      </c>
      <c r="N2073" s="35">
        <f t="shared" si="170"/>
        <v>0</v>
      </c>
      <c r="O2073" s="35">
        <f t="shared" si="171"/>
        <v>0</v>
      </c>
      <c r="P2073" s="35">
        <f t="shared" si="172"/>
        <v>0</v>
      </c>
    </row>
    <row r="2074" spans="12:16" ht="15" hidden="1" customHeight="1">
      <c r="L2074" s="43" t="str">
        <f t="shared" si="168"/>
        <v>-</v>
      </c>
      <c r="M2074" s="35">
        <f t="shared" si="169"/>
        <v>0</v>
      </c>
      <c r="N2074" s="35">
        <f t="shared" si="170"/>
        <v>0</v>
      </c>
      <c r="O2074" s="35">
        <f t="shared" si="171"/>
        <v>0</v>
      </c>
      <c r="P2074" s="35">
        <f t="shared" si="172"/>
        <v>0</v>
      </c>
    </row>
    <row r="2075" spans="12:16" ht="15" hidden="1" customHeight="1">
      <c r="L2075" s="43" t="str">
        <f t="shared" si="168"/>
        <v>-</v>
      </c>
      <c r="M2075" s="35">
        <f t="shared" si="169"/>
        <v>0</v>
      </c>
      <c r="N2075" s="35">
        <f t="shared" si="170"/>
        <v>0</v>
      </c>
      <c r="O2075" s="35">
        <f t="shared" si="171"/>
        <v>0</v>
      </c>
      <c r="P2075" s="35">
        <f t="shared" si="172"/>
        <v>0</v>
      </c>
    </row>
    <row r="2076" spans="12:16" ht="15" hidden="1" customHeight="1">
      <c r="L2076" s="43" t="str">
        <f t="shared" si="168"/>
        <v>-</v>
      </c>
      <c r="M2076" s="35">
        <f t="shared" si="169"/>
        <v>0</v>
      </c>
      <c r="N2076" s="35">
        <f t="shared" si="170"/>
        <v>0</v>
      </c>
      <c r="O2076" s="35">
        <f t="shared" si="171"/>
        <v>0</v>
      </c>
      <c r="P2076" s="35">
        <f t="shared" si="172"/>
        <v>0</v>
      </c>
    </row>
    <row r="2077" spans="12:16" ht="15" hidden="1" customHeight="1">
      <c r="L2077" s="43" t="str">
        <f t="shared" si="168"/>
        <v>-</v>
      </c>
      <c r="M2077" s="35">
        <f t="shared" si="169"/>
        <v>0</v>
      </c>
      <c r="N2077" s="35">
        <f t="shared" si="170"/>
        <v>0</v>
      </c>
      <c r="O2077" s="35">
        <f t="shared" si="171"/>
        <v>0</v>
      </c>
      <c r="P2077" s="35">
        <f t="shared" si="172"/>
        <v>0</v>
      </c>
    </row>
    <row r="2078" spans="12:16" ht="15" hidden="1" customHeight="1">
      <c r="L2078" s="43" t="str">
        <f t="shared" si="168"/>
        <v>-</v>
      </c>
      <c r="M2078" s="35">
        <f t="shared" si="169"/>
        <v>0</v>
      </c>
      <c r="N2078" s="35">
        <f t="shared" si="170"/>
        <v>0</v>
      </c>
      <c r="O2078" s="35">
        <f t="shared" si="171"/>
        <v>0</v>
      </c>
      <c r="P2078" s="35">
        <f t="shared" si="172"/>
        <v>0</v>
      </c>
    </row>
    <row r="2079" spans="12:16" ht="15" hidden="1" customHeight="1">
      <c r="L2079" s="43" t="str">
        <f t="shared" ref="L2079:L2142" si="173">IFERROR(IF(MAX(L2078+1,Дата_получения_Займа+1)&gt;Дата_погашения_Займа,"-",MAX(L2078+1,Дата_получения_Займа+1)),"-")</f>
        <v>-</v>
      </c>
      <c r="M2079" s="35">
        <f t="shared" ref="M2079:M2142" si="174">IFERROR(VLOOKUP(L2079,$B$31:$E$59,4,FALSE),0)</f>
        <v>0</v>
      </c>
      <c r="N2079" s="35">
        <f t="shared" ref="N2079:N2142" si="175">IF(ISNUMBER(N2078),N2078-M2079,$E$20)</f>
        <v>0</v>
      </c>
      <c r="O2079" s="35">
        <f t="shared" ref="O2079:O2142" si="176">IFERROR(IF(ISNUMBER(N2078),N2078,$E$20)*IF(L2079&gt;=$J$20,$E$25,$E$24)/IF(MOD(YEAR(L2079),4),365,366)*IF(ISBLANK(L2078),L2079-$E$22,L2079-L2078),0)</f>
        <v>0</v>
      </c>
      <c r="P2079" s="35">
        <f t="shared" ref="P2079:P2142" si="177">IFERROR(IF(ISNUMBER(N2078),N2078,$E$20)*3%/IF(MOD(YEAR(L2079),4),365,366)*IF(ISBLANK(L2078),(L2079-$E$22),L2079-L2078),0)</f>
        <v>0</v>
      </c>
    </row>
    <row r="2080" spans="12:16" ht="15" hidden="1" customHeight="1">
      <c r="L2080" s="43" t="str">
        <f t="shared" si="173"/>
        <v>-</v>
      </c>
      <c r="M2080" s="35">
        <f t="shared" si="174"/>
        <v>0</v>
      </c>
      <c r="N2080" s="35">
        <f t="shared" si="175"/>
        <v>0</v>
      </c>
      <c r="O2080" s="35">
        <f t="shared" si="176"/>
        <v>0</v>
      </c>
      <c r="P2080" s="35">
        <f t="shared" si="177"/>
        <v>0</v>
      </c>
    </row>
    <row r="2081" spans="12:16" ht="15" hidden="1" customHeight="1">
      <c r="L2081" s="43" t="str">
        <f t="shared" si="173"/>
        <v>-</v>
      </c>
      <c r="M2081" s="35">
        <f t="shared" si="174"/>
        <v>0</v>
      </c>
      <c r="N2081" s="35">
        <f t="shared" si="175"/>
        <v>0</v>
      </c>
      <c r="O2081" s="35">
        <f t="shared" si="176"/>
        <v>0</v>
      </c>
      <c r="P2081" s="35">
        <f t="shared" si="177"/>
        <v>0</v>
      </c>
    </row>
    <row r="2082" spans="12:16" ht="15" hidden="1" customHeight="1">
      <c r="L2082" s="43" t="str">
        <f t="shared" si="173"/>
        <v>-</v>
      </c>
      <c r="M2082" s="35">
        <f t="shared" si="174"/>
        <v>0</v>
      </c>
      <c r="N2082" s="35">
        <f t="shared" si="175"/>
        <v>0</v>
      </c>
      <c r="O2082" s="35">
        <f t="shared" si="176"/>
        <v>0</v>
      </c>
      <c r="P2082" s="35">
        <f t="shared" si="177"/>
        <v>0</v>
      </c>
    </row>
    <row r="2083" spans="12:16" ht="15" hidden="1" customHeight="1">
      <c r="L2083" s="43" t="str">
        <f t="shared" si="173"/>
        <v>-</v>
      </c>
      <c r="M2083" s="35">
        <f t="shared" si="174"/>
        <v>0</v>
      </c>
      <c r="N2083" s="35">
        <f t="shared" si="175"/>
        <v>0</v>
      </c>
      <c r="O2083" s="35">
        <f t="shared" si="176"/>
        <v>0</v>
      </c>
      <c r="P2083" s="35">
        <f t="shared" si="177"/>
        <v>0</v>
      </c>
    </row>
    <row r="2084" spans="12:16" ht="15" hidden="1" customHeight="1">
      <c r="L2084" s="43" t="str">
        <f t="shared" si="173"/>
        <v>-</v>
      </c>
      <c r="M2084" s="35">
        <f t="shared" si="174"/>
        <v>0</v>
      </c>
      <c r="N2084" s="35">
        <f t="shared" si="175"/>
        <v>0</v>
      </c>
      <c r="O2084" s="35">
        <f t="shared" si="176"/>
        <v>0</v>
      </c>
      <c r="P2084" s="35">
        <f t="shared" si="177"/>
        <v>0</v>
      </c>
    </row>
    <row r="2085" spans="12:16" ht="15" hidden="1" customHeight="1">
      <c r="L2085" s="43" t="str">
        <f t="shared" si="173"/>
        <v>-</v>
      </c>
      <c r="M2085" s="35">
        <f t="shared" si="174"/>
        <v>0</v>
      </c>
      <c r="N2085" s="35">
        <f t="shared" si="175"/>
        <v>0</v>
      </c>
      <c r="O2085" s="35">
        <f t="shared" si="176"/>
        <v>0</v>
      </c>
      <c r="P2085" s="35">
        <f t="shared" si="177"/>
        <v>0</v>
      </c>
    </row>
    <row r="2086" spans="12:16" ht="15" hidden="1" customHeight="1">
      <c r="L2086" s="43" t="str">
        <f t="shared" si="173"/>
        <v>-</v>
      </c>
      <c r="M2086" s="35">
        <f t="shared" si="174"/>
        <v>0</v>
      </c>
      <c r="N2086" s="35">
        <f t="shared" si="175"/>
        <v>0</v>
      </c>
      <c r="O2086" s="35">
        <f t="shared" si="176"/>
        <v>0</v>
      </c>
      <c r="P2086" s="35">
        <f t="shared" si="177"/>
        <v>0</v>
      </c>
    </row>
    <row r="2087" spans="12:16" ht="15" hidden="1" customHeight="1">
      <c r="L2087" s="43" t="str">
        <f t="shared" si="173"/>
        <v>-</v>
      </c>
      <c r="M2087" s="35">
        <f t="shared" si="174"/>
        <v>0</v>
      </c>
      <c r="N2087" s="35">
        <f t="shared" si="175"/>
        <v>0</v>
      </c>
      <c r="O2087" s="35">
        <f t="shared" si="176"/>
        <v>0</v>
      </c>
      <c r="P2087" s="35">
        <f t="shared" si="177"/>
        <v>0</v>
      </c>
    </row>
    <row r="2088" spans="12:16" ht="15" hidden="1" customHeight="1">
      <c r="L2088" s="43" t="str">
        <f t="shared" si="173"/>
        <v>-</v>
      </c>
      <c r="M2088" s="35">
        <f t="shared" si="174"/>
        <v>0</v>
      </c>
      <c r="N2088" s="35">
        <f t="shared" si="175"/>
        <v>0</v>
      </c>
      <c r="O2088" s="35">
        <f t="shared" si="176"/>
        <v>0</v>
      </c>
      <c r="P2088" s="35">
        <f t="shared" si="177"/>
        <v>0</v>
      </c>
    </row>
    <row r="2089" spans="12:16" ht="15" hidden="1" customHeight="1">
      <c r="L2089" s="43" t="str">
        <f t="shared" si="173"/>
        <v>-</v>
      </c>
      <c r="M2089" s="35">
        <f t="shared" si="174"/>
        <v>0</v>
      </c>
      <c r="N2089" s="35">
        <f t="shared" si="175"/>
        <v>0</v>
      </c>
      <c r="O2089" s="35">
        <f t="shared" si="176"/>
        <v>0</v>
      </c>
      <c r="P2089" s="35">
        <f t="shared" si="177"/>
        <v>0</v>
      </c>
    </row>
    <row r="2090" spans="12:16" ht="15" hidden="1" customHeight="1">
      <c r="L2090" s="43" t="str">
        <f t="shared" si="173"/>
        <v>-</v>
      </c>
      <c r="M2090" s="35">
        <f t="shared" si="174"/>
        <v>0</v>
      </c>
      <c r="N2090" s="35">
        <f t="shared" si="175"/>
        <v>0</v>
      </c>
      <c r="O2090" s="35">
        <f t="shared" si="176"/>
        <v>0</v>
      </c>
      <c r="P2090" s="35">
        <f t="shared" si="177"/>
        <v>0</v>
      </c>
    </row>
    <row r="2091" spans="12:16" ht="15" hidden="1" customHeight="1">
      <c r="L2091" s="43" t="str">
        <f t="shared" si="173"/>
        <v>-</v>
      </c>
      <c r="M2091" s="35">
        <f t="shared" si="174"/>
        <v>0</v>
      </c>
      <c r="N2091" s="35">
        <f t="shared" si="175"/>
        <v>0</v>
      </c>
      <c r="O2091" s="35">
        <f t="shared" si="176"/>
        <v>0</v>
      </c>
      <c r="P2091" s="35">
        <f t="shared" si="177"/>
        <v>0</v>
      </c>
    </row>
    <row r="2092" spans="12:16" ht="15" hidden="1" customHeight="1">
      <c r="L2092" s="43" t="str">
        <f t="shared" si="173"/>
        <v>-</v>
      </c>
      <c r="M2092" s="35">
        <f t="shared" si="174"/>
        <v>0</v>
      </c>
      <c r="N2092" s="35">
        <f t="shared" si="175"/>
        <v>0</v>
      </c>
      <c r="O2092" s="35">
        <f t="shared" si="176"/>
        <v>0</v>
      </c>
      <c r="P2092" s="35">
        <f t="shared" si="177"/>
        <v>0</v>
      </c>
    </row>
    <row r="2093" spans="12:16" ht="15" hidden="1" customHeight="1">
      <c r="L2093" s="43" t="str">
        <f t="shared" si="173"/>
        <v>-</v>
      </c>
      <c r="M2093" s="35">
        <f t="shared" si="174"/>
        <v>0</v>
      </c>
      <c r="N2093" s="35">
        <f t="shared" si="175"/>
        <v>0</v>
      </c>
      <c r="O2093" s="35">
        <f t="shared" si="176"/>
        <v>0</v>
      </c>
      <c r="P2093" s="35">
        <f t="shared" si="177"/>
        <v>0</v>
      </c>
    </row>
    <row r="2094" spans="12:16" ht="15" hidden="1" customHeight="1">
      <c r="L2094" s="43" t="str">
        <f t="shared" si="173"/>
        <v>-</v>
      </c>
      <c r="M2094" s="35">
        <f t="shared" si="174"/>
        <v>0</v>
      </c>
      <c r="N2094" s="35">
        <f t="shared" si="175"/>
        <v>0</v>
      </c>
      <c r="O2094" s="35">
        <f t="shared" si="176"/>
        <v>0</v>
      </c>
      <c r="P2094" s="35">
        <f t="shared" si="177"/>
        <v>0</v>
      </c>
    </row>
    <row r="2095" spans="12:16" ht="15" hidden="1" customHeight="1">
      <c r="L2095" s="43" t="str">
        <f t="shared" si="173"/>
        <v>-</v>
      </c>
      <c r="M2095" s="35">
        <f t="shared" si="174"/>
        <v>0</v>
      </c>
      <c r="N2095" s="35">
        <f t="shared" si="175"/>
        <v>0</v>
      </c>
      <c r="O2095" s="35">
        <f t="shared" si="176"/>
        <v>0</v>
      </c>
      <c r="P2095" s="35">
        <f t="shared" si="177"/>
        <v>0</v>
      </c>
    </row>
    <row r="2096" spans="12:16" ht="15" hidden="1" customHeight="1">
      <c r="L2096" s="43" t="str">
        <f t="shared" si="173"/>
        <v>-</v>
      </c>
      <c r="M2096" s="35">
        <f t="shared" si="174"/>
        <v>0</v>
      </c>
      <c r="N2096" s="35">
        <f t="shared" si="175"/>
        <v>0</v>
      </c>
      <c r="O2096" s="35">
        <f t="shared" si="176"/>
        <v>0</v>
      </c>
      <c r="P2096" s="35">
        <f t="shared" si="177"/>
        <v>0</v>
      </c>
    </row>
    <row r="2097" spans="12:16" ht="15" hidden="1" customHeight="1">
      <c r="L2097" s="43" t="str">
        <f t="shared" si="173"/>
        <v>-</v>
      </c>
      <c r="M2097" s="35">
        <f t="shared" si="174"/>
        <v>0</v>
      </c>
      <c r="N2097" s="35">
        <f t="shared" si="175"/>
        <v>0</v>
      </c>
      <c r="O2097" s="35">
        <f t="shared" si="176"/>
        <v>0</v>
      </c>
      <c r="P2097" s="35">
        <f t="shared" si="177"/>
        <v>0</v>
      </c>
    </row>
    <row r="2098" spans="12:16" ht="15" hidden="1" customHeight="1">
      <c r="L2098" s="43" t="str">
        <f t="shared" si="173"/>
        <v>-</v>
      </c>
      <c r="M2098" s="35">
        <f t="shared" si="174"/>
        <v>0</v>
      </c>
      <c r="N2098" s="35">
        <f t="shared" si="175"/>
        <v>0</v>
      </c>
      <c r="O2098" s="35">
        <f t="shared" si="176"/>
        <v>0</v>
      </c>
      <c r="P2098" s="35">
        <f t="shared" si="177"/>
        <v>0</v>
      </c>
    </row>
    <row r="2099" spans="12:16" ht="15" hidden="1" customHeight="1">
      <c r="L2099" s="43" t="str">
        <f t="shared" si="173"/>
        <v>-</v>
      </c>
      <c r="M2099" s="35">
        <f t="shared" si="174"/>
        <v>0</v>
      </c>
      <c r="N2099" s="35">
        <f t="shared" si="175"/>
        <v>0</v>
      </c>
      <c r="O2099" s="35">
        <f t="shared" si="176"/>
        <v>0</v>
      </c>
      <c r="P2099" s="35">
        <f t="shared" si="177"/>
        <v>0</v>
      </c>
    </row>
    <row r="2100" spans="12:16" ht="15" hidden="1" customHeight="1">
      <c r="L2100" s="43" t="str">
        <f t="shared" si="173"/>
        <v>-</v>
      </c>
      <c r="M2100" s="35">
        <f t="shared" si="174"/>
        <v>0</v>
      </c>
      <c r="N2100" s="35">
        <f t="shared" si="175"/>
        <v>0</v>
      </c>
      <c r="O2100" s="35">
        <f t="shared" si="176"/>
        <v>0</v>
      </c>
      <c r="P2100" s="35">
        <f t="shared" si="177"/>
        <v>0</v>
      </c>
    </row>
    <row r="2101" spans="12:16" ht="15" hidden="1" customHeight="1">
      <c r="L2101" s="43" t="str">
        <f t="shared" si="173"/>
        <v>-</v>
      </c>
      <c r="M2101" s="35">
        <f t="shared" si="174"/>
        <v>0</v>
      </c>
      <c r="N2101" s="35">
        <f t="shared" si="175"/>
        <v>0</v>
      </c>
      <c r="O2101" s="35">
        <f t="shared" si="176"/>
        <v>0</v>
      </c>
      <c r="P2101" s="35">
        <f t="shared" si="177"/>
        <v>0</v>
      </c>
    </row>
    <row r="2102" spans="12:16" ht="15" hidden="1" customHeight="1">
      <c r="L2102" s="43" t="str">
        <f t="shared" si="173"/>
        <v>-</v>
      </c>
      <c r="M2102" s="35">
        <f t="shared" si="174"/>
        <v>0</v>
      </c>
      <c r="N2102" s="35">
        <f t="shared" si="175"/>
        <v>0</v>
      </c>
      <c r="O2102" s="35">
        <f t="shared" si="176"/>
        <v>0</v>
      </c>
      <c r="P2102" s="35">
        <f t="shared" si="177"/>
        <v>0</v>
      </c>
    </row>
    <row r="2103" spans="12:16" ht="15" hidden="1" customHeight="1">
      <c r="L2103" s="43" t="str">
        <f t="shared" si="173"/>
        <v>-</v>
      </c>
      <c r="M2103" s="35">
        <f t="shared" si="174"/>
        <v>0</v>
      </c>
      <c r="N2103" s="35">
        <f t="shared" si="175"/>
        <v>0</v>
      </c>
      <c r="O2103" s="35">
        <f t="shared" si="176"/>
        <v>0</v>
      </c>
      <c r="P2103" s="35">
        <f t="shared" si="177"/>
        <v>0</v>
      </c>
    </row>
    <row r="2104" spans="12:16" ht="15" hidden="1" customHeight="1">
      <c r="L2104" s="43" t="str">
        <f t="shared" si="173"/>
        <v>-</v>
      </c>
      <c r="M2104" s="35">
        <f t="shared" si="174"/>
        <v>0</v>
      </c>
      <c r="N2104" s="35">
        <f t="shared" si="175"/>
        <v>0</v>
      </c>
      <c r="O2104" s="35">
        <f t="shared" si="176"/>
        <v>0</v>
      </c>
      <c r="P2104" s="35">
        <f t="shared" si="177"/>
        <v>0</v>
      </c>
    </row>
    <row r="2105" spans="12:16" ht="15" hidden="1" customHeight="1">
      <c r="L2105" s="43" t="str">
        <f t="shared" si="173"/>
        <v>-</v>
      </c>
      <c r="M2105" s="35">
        <f t="shared" si="174"/>
        <v>0</v>
      </c>
      <c r="N2105" s="35">
        <f t="shared" si="175"/>
        <v>0</v>
      </c>
      <c r="O2105" s="35">
        <f t="shared" si="176"/>
        <v>0</v>
      </c>
      <c r="P2105" s="35">
        <f t="shared" si="177"/>
        <v>0</v>
      </c>
    </row>
    <row r="2106" spans="12:16" ht="15" hidden="1" customHeight="1">
      <c r="L2106" s="43" t="str">
        <f t="shared" si="173"/>
        <v>-</v>
      </c>
      <c r="M2106" s="35">
        <f t="shared" si="174"/>
        <v>0</v>
      </c>
      <c r="N2106" s="35">
        <f t="shared" si="175"/>
        <v>0</v>
      </c>
      <c r="O2106" s="35">
        <f t="shared" si="176"/>
        <v>0</v>
      </c>
      <c r="P2106" s="35">
        <f t="shared" si="177"/>
        <v>0</v>
      </c>
    </row>
    <row r="2107" spans="12:16" ht="15" hidden="1" customHeight="1">
      <c r="L2107" s="43" t="str">
        <f t="shared" si="173"/>
        <v>-</v>
      </c>
      <c r="M2107" s="35">
        <f t="shared" si="174"/>
        <v>0</v>
      </c>
      <c r="N2107" s="35">
        <f t="shared" si="175"/>
        <v>0</v>
      </c>
      <c r="O2107" s="35">
        <f t="shared" si="176"/>
        <v>0</v>
      </c>
      <c r="P2107" s="35">
        <f t="shared" si="177"/>
        <v>0</v>
      </c>
    </row>
    <row r="2108" spans="12:16" ht="15" hidden="1" customHeight="1">
      <c r="L2108" s="43" t="str">
        <f t="shared" si="173"/>
        <v>-</v>
      </c>
      <c r="M2108" s="35">
        <f t="shared" si="174"/>
        <v>0</v>
      </c>
      <c r="N2108" s="35">
        <f t="shared" si="175"/>
        <v>0</v>
      </c>
      <c r="O2108" s="35">
        <f t="shared" si="176"/>
        <v>0</v>
      </c>
      <c r="P2108" s="35">
        <f t="shared" si="177"/>
        <v>0</v>
      </c>
    </row>
    <row r="2109" spans="12:16" ht="15" hidden="1" customHeight="1">
      <c r="L2109" s="43" t="str">
        <f t="shared" si="173"/>
        <v>-</v>
      </c>
      <c r="M2109" s="35">
        <f t="shared" si="174"/>
        <v>0</v>
      </c>
      <c r="N2109" s="35">
        <f t="shared" si="175"/>
        <v>0</v>
      </c>
      <c r="O2109" s="35">
        <f t="shared" si="176"/>
        <v>0</v>
      </c>
      <c r="P2109" s="35">
        <f t="shared" si="177"/>
        <v>0</v>
      </c>
    </row>
    <row r="2110" spans="12:16" ht="15" hidden="1" customHeight="1">
      <c r="L2110" s="43" t="str">
        <f t="shared" si="173"/>
        <v>-</v>
      </c>
      <c r="M2110" s="35">
        <f t="shared" si="174"/>
        <v>0</v>
      </c>
      <c r="N2110" s="35">
        <f t="shared" si="175"/>
        <v>0</v>
      </c>
      <c r="O2110" s="35">
        <f t="shared" si="176"/>
        <v>0</v>
      </c>
      <c r="P2110" s="35">
        <f t="shared" si="177"/>
        <v>0</v>
      </c>
    </row>
    <row r="2111" spans="12:16" ht="15" hidden="1" customHeight="1">
      <c r="L2111" s="43" t="str">
        <f t="shared" si="173"/>
        <v>-</v>
      </c>
      <c r="M2111" s="35">
        <f t="shared" si="174"/>
        <v>0</v>
      </c>
      <c r="N2111" s="35">
        <f t="shared" si="175"/>
        <v>0</v>
      </c>
      <c r="O2111" s="35">
        <f t="shared" si="176"/>
        <v>0</v>
      </c>
      <c r="P2111" s="35">
        <f t="shared" si="177"/>
        <v>0</v>
      </c>
    </row>
    <row r="2112" spans="12:16" ht="15" hidden="1" customHeight="1">
      <c r="L2112" s="43" t="str">
        <f t="shared" si="173"/>
        <v>-</v>
      </c>
      <c r="M2112" s="35">
        <f t="shared" si="174"/>
        <v>0</v>
      </c>
      <c r="N2112" s="35">
        <f t="shared" si="175"/>
        <v>0</v>
      </c>
      <c r="O2112" s="35">
        <f t="shared" si="176"/>
        <v>0</v>
      </c>
      <c r="P2112" s="35">
        <f t="shared" si="177"/>
        <v>0</v>
      </c>
    </row>
    <row r="2113" spans="12:16" ht="15" hidden="1" customHeight="1">
      <c r="L2113" s="43" t="str">
        <f t="shared" si="173"/>
        <v>-</v>
      </c>
      <c r="M2113" s="35">
        <f t="shared" si="174"/>
        <v>0</v>
      </c>
      <c r="N2113" s="35">
        <f t="shared" si="175"/>
        <v>0</v>
      </c>
      <c r="O2113" s="35">
        <f t="shared" si="176"/>
        <v>0</v>
      </c>
      <c r="P2113" s="35">
        <f t="shared" si="177"/>
        <v>0</v>
      </c>
    </row>
    <row r="2114" spans="12:16" ht="15" hidden="1" customHeight="1">
      <c r="L2114" s="43" t="str">
        <f t="shared" si="173"/>
        <v>-</v>
      </c>
      <c r="M2114" s="35">
        <f t="shared" si="174"/>
        <v>0</v>
      </c>
      <c r="N2114" s="35">
        <f t="shared" si="175"/>
        <v>0</v>
      </c>
      <c r="O2114" s="35">
        <f t="shared" si="176"/>
        <v>0</v>
      </c>
      <c r="P2114" s="35">
        <f t="shared" si="177"/>
        <v>0</v>
      </c>
    </row>
    <row r="2115" spans="12:16" ht="15" hidden="1" customHeight="1">
      <c r="L2115" s="43" t="str">
        <f t="shared" si="173"/>
        <v>-</v>
      </c>
      <c r="M2115" s="35">
        <f t="shared" si="174"/>
        <v>0</v>
      </c>
      <c r="N2115" s="35">
        <f t="shared" si="175"/>
        <v>0</v>
      </c>
      <c r="O2115" s="35">
        <f t="shared" si="176"/>
        <v>0</v>
      </c>
      <c r="P2115" s="35">
        <f t="shared" si="177"/>
        <v>0</v>
      </c>
    </row>
    <row r="2116" spans="12:16" ht="15" hidden="1" customHeight="1">
      <c r="L2116" s="43" t="str">
        <f t="shared" si="173"/>
        <v>-</v>
      </c>
      <c r="M2116" s="35">
        <f t="shared" si="174"/>
        <v>0</v>
      </c>
      <c r="N2116" s="35">
        <f t="shared" si="175"/>
        <v>0</v>
      </c>
      <c r="O2116" s="35">
        <f t="shared" si="176"/>
        <v>0</v>
      </c>
      <c r="P2116" s="35">
        <f t="shared" si="177"/>
        <v>0</v>
      </c>
    </row>
    <row r="2117" spans="12:16" ht="15" hidden="1" customHeight="1">
      <c r="L2117" s="43" t="str">
        <f t="shared" si="173"/>
        <v>-</v>
      </c>
      <c r="M2117" s="35">
        <f t="shared" si="174"/>
        <v>0</v>
      </c>
      <c r="N2117" s="35">
        <f t="shared" si="175"/>
        <v>0</v>
      </c>
      <c r="O2117" s="35">
        <f t="shared" si="176"/>
        <v>0</v>
      </c>
      <c r="P2117" s="35">
        <f t="shared" si="177"/>
        <v>0</v>
      </c>
    </row>
    <row r="2118" spans="12:16" ht="15" hidden="1" customHeight="1">
      <c r="L2118" s="43" t="str">
        <f t="shared" si="173"/>
        <v>-</v>
      </c>
      <c r="M2118" s="35">
        <f t="shared" si="174"/>
        <v>0</v>
      </c>
      <c r="N2118" s="35">
        <f t="shared" si="175"/>
        <v>0</v>
      </c>
      <c r="O2118" s="35">
        <f t="shared" si="176"/>
        <v>0</v>
      </c>
      <c r="P2118" s="35">
        <f t="shared" si="177"/>
        <v>0</v>
      </c>
    </row>
    <row r="2119" spans="12:16" ht="15" hidden="1" customHeight="1">
      <c r="L2119" s="43" t="str">
        <f t="shared" si="173"/>
        <v>-</v>
      </c>
      <c r="M2119" s="35">
        <f t="shared" si="174"/>
        <v>0</v>
      </c>
      <c r="N2119" s="35">
        <f t="shared" si="175"/>
        <v>0</v>
      </c>
      <c r="O2119" s="35">
        <f t="shared" si="176"/>
        <v>0</v>
      </c>
      <c r="P2119" s="35">
        <f t="shared" si="177"/>
        <v>0</v>
      </c>
    </row>
    <row r="2120" spans="12:16" ht="15" hidden="1" customHeight="1">
      <c r="L2120" s="43" t="str">
        <f t="shared" si="173"/>
        <v>-</v>
      </c>
      <c r="M2120" s="35">
        <f t="shared" si="174"/>
        <v>0</v>
      </c>
      <c r="N2120" s="35">
        <f t="shared" si="175"/>
        <v>0</v>
      </c>
      <c r="O2120" s="35">
        <f t="shared" si="176"/>
        <v>0</v>
      </c>
      <c r="P2120" s="35">
        <f t="shared" si="177"/>
        <v>0</v>
      </c>
    </row>
    <row r="2121" spans="12:16" ht="15" hidden="1" customHeight="1">
      <c r="L2121" s="43" t="str">
        <f t="shared" si="173"/>
        <v>-</v>
      </c>
      <c r="M2121" s="35">
        <f t="shared" si="174"/>
        <v>0</v>
      </c>
      <c r="N2121" s="35">
        <f t="shared" si="175"/>
        <v>0</v>
      </c>
      <c r="O2121" s="35">
        <f t="shared" si="176"/>
        <v>0</v>
      </c>
      <c r="P2121" s="35">
        <f t="shared" si="177"/>
        <v>0</v>
      </c>
    </row>
    <row r="2122" spans="12:16" ht="15" hidden="1" customHeight="1">
      <c r="L2122" s="43" t="str">
        <f t="shared" si="173"/>
        <v>-</v>
      </c>
      <c r="M2122" s="35">
        <f t="shared" si="174"/>
        <v>0</v>
      </c>
      <c r="N2122" s="35">
        <f t="shared" si="175"/>
        <v>0</v>
      </c>
      <c r="O2122" s="35">
        <f t="shared" si="176"/>
        <v>0</v>
      </c>
      <c r="P2122" s="35">
        <f t="shared" si="177"/>
        <v>0</v>
      </c>
    </row>
    <row r="2123" spans="12:16" ht="15" hidden="1" customHeight="1">
      <c r="L2123" s="43" t="str">
        <f t="shared" si="173"/>
        <v>-</v>
      </c>
      <c r="M2123" s="35">
        <f t="shared" si="174"/>
        <v>0</v>
      </c>
      <c r="N2123" s="35">
        <f t="shared" si="175"/>
        <v>0</v>
      </c>
      <c r="O2123" s="35">
        <f t="shared" si="176"/>
        <v>0</v>
      </c>
      <c r="P2123" s="35">
        <f t="shared" si="177"/>
        <v>0</v>
      </c>
    </row>
    <row r="2124" spans="12:16" ht="15" hidden="1" customHeight="1">
      <c r="L2124" s="43" t="str">
        <f t="shared" si="173"/>
        <v>-</v>
      </c>
      <c r="M2124" s="35">
        <f t="shared" si="174"/>
        <v>0</v>
      </c>
      <c r="N2124" s="35">
        <f t="shared" si="175"/>
        <v>0</v>
      </c>
      <c r="O2124" s="35">
        <f t="shared" si="176"/>
        <v>0</v>
      </c>
      <c r="P2124" s="35">
        <f t="shared" si="177"/>
        <v>0</v>
      </c>
    </row>
    <row r="2125" spans="12:16" ht="15" hidden="1" customHeight="1">
      <c r="L2125" s="43" t="str">
        <f t="shared" si="173"/>
        <v>-</v>
      </c>
      <c r="M2125" s="35">
        <f t="shared" si="174"/>
        <v>0</v>
      </c>
      <c r="N2125" s="35">
        <f t="shared" si="175"/>
        <v>0</v>
      </c>
      <c r="O2125" s="35">
        <f t="shared" si="176"/>
        <v>0</v>
      </c>
      <c r="P2125" s="35">
        <f t="shared" si="177"/>
        <v>0</v>
      </c>
    </row>
    <row r="2126" spans="12:16" ht="15" hidden="1" customHeight="1">
      <c r="L2126" s="43" t="str">
        <f t="shared" si="173"/>
        <v>-</v>
      </c>
      <c r="M2126" s="35">
        <f t="shared" si="174"/>
        <v>0</v>
      </c>
      <c r="N2126" s="35">
        <f t="shared" si="175"/>
        <v>0</v>
      </c>
      <c r="O2126" s="35">
        <f t="shared" si="176"/>
        <v>0</v>
      </c>
      <c r="P2126" s="35">
        <f t="shared" si="177"/>
        <v>0</v>
      </c>
    </row>
    <row r="2127" spans="12:16" ht="15" hidden="1" customHeight="1">
      <c r="L2127" s="43" t="str">
        <f t="shared" si="173"/>
        <v>-</v>
      </c>
      <c r="M2127" s="35">
        <f t="shared" si="174"/>
        <v>0</v>
      </c>
      <c r="N2127" s="35">
        <f t="shared" si="175"/>
        <v>0</v>
      </c>
      <c r="O2127" s="35">
        <f t="shared" si="176"/>
        <v>0</v>
      </c>
      <c r="P2127" s="35">
        <f t="shared" si="177"/>
        <v>0</v>
      </c>
    </row>
    <row r="2128" spans="12:16" ht="15" hidden="1" customHeight="1">
      <c r="L2128" s="43" t="str">
        <f t="shared" si="173"/>
        <v>-</v>
      </c>
      <c r="M2128" s="35">
        <f t="shared" si="174"/>
        <v>0</v>
      </c>
      <c r="N2128" s="35">
        <f t="shared" si="175"/>
        <v>0</v>
      </c>
      <c r="O2128" s="35">
        <f t="shared" si="176"/>
        <v>0</v>
      </c>
      <c r="P2128" s="35">
        <f t="shared" si="177"/>
        <v>0</v>
      </c>
    </row>
    <row r="2129" spans="12:16" ht="15" hidden="1" customHeight="1">
      <c r="L2129" s="43" t="str">
        <f t="shared" si="173"/>
        <v>-</v>
      </c>
      <c r="M2129" s="35">
        <f t="shared" si="174"/>
        <v>0</v>
      </c>
      <c r="N2129" s="35">
        <f t="shared" si="175"/>
        <v>0</v>
      </c>
      <c r="O2129" s="35">
        <f t="shared" si="176"/>
        <v>0</v>
      </c>
      <c r="P2129" s="35">
        <f t="shared" si="177"/>
        <v>0</v>
      </c>
    </row>
    <row r="2130" spans="12:16" ht="15" hidden="1" customHeight="1">
      <c r="L2130" s="43" t="str">
        <f t="shared" si="173"/>
        <v>-</v>
      </c>
      <c r="M2130" s="35">
        <f t="shared" si="174"/>
        <v>0</v>
      </c>
      <c r="N2130" s="35">
        <f t="shared" si="175"/>
        <v>0</v>
      </c>
      <c r="O2130" s="35">
        <f t="shared" si="176"/>
        <v>0</v>
      </c>
      <c r="P2130" s="35">
        <f t="shared" si="177"/>
        <v>0</v>
      </c>
    </row>
    <row r="2131" spans="12:16" ht="15" hidden="1" customHeight="1">
      <c r="L2131" s="43" t="str">
        <f t="shared" si="173"/>
        <v>-</v>
      </c>
      <c r="M2131" s="35">
        <f t="shared" si="174"/>
        <v>0</v>
      </c>
      <c r="N2131" s="35">
        <f t="shared" si="175"/>
        <v>0</v>
      </c>
      <c r="O2131" s="35">
        <f t="shared" si="176"/>
        <v>0</v>
      </c>
      <c r="P2131" s="35">
        <f t="shared" si="177"/>
        <v>0</v>
      </c>
    </row>
    <row r="2132" spans="12:16" ht="15" hidden="1" customHeight="1">
      <c r="L2132" s="43" t="str">
        <f t="shared" si="173"/>
        <v>-</v>
      </c>
      <c r="M2132" s="35">
        <f t="shared" si="174"/>
        <v>0</v>
      </c>
      <c r="N2132" s="35">
        <f t="shared" si="175"/>
        <v>0</v>
      </c>
      <c r="O2132" s="35">
        <f t="shared" si="176"/>
        <v>0</v>
      </c>
      <c r="P2132" s="35">
        <f t="shared" si="177"/>
        <v>0</v>
      </c>
    </row>
    <row r="2133" spans="12:16" ht="15" hidden="1" customHeight="1">
      <c r="L2133" s="43" t="str">
        <f t="shared" si="173"/>
        <v>-</v>
      </c>
      <c r="M2133" s="35">
        <f t="shared" si="174"/>
        <v>0</v>
      </c>
      <c r="N2133" s="35">
        <f t="shared" si="175"/>
        <v>0</v>
      </c>
      <c r="O2133" s="35">
        <f t="shared" si="176"/>
        <v>0</v>
      </c>
      <c r="P2133" s="35">
        <f t="shared" si="177"/>
        <v>0</v>
      </c>
    </row>
    <row r="2134" spans="12:16" ht="15" hidden="1" customHeight="1">
      <c r="L2134" s="43" t="str">
        <f t="shared" si="173"/>
        <v>-</v>
      </c>
      <c r="M2134" s="35">
        <f t="shared" si="174"/>
        <v>0</v>
      </c>
      <c r="N2134" s="35">
        <f t="shared" si="175"/>
        <v>0</v>
      </c>
      <c r="O2134" s="35">
        <f t="shared" si="176"/>
        <v>0</v>
      </c>
      <c r="P2134" s="35">
        <f t="shared" si="177"/>
        <v>0</v>
      </c>
    </row>
    <row r="2135" spans="12:16" ht="15" hidden="1" customHeight="1">
      <c r="L2135" s="43" t="str">
        <f t="shared" si="173"/>
        <v>-</v>
      </c>
      <c r="M2135" s="35">
        <f t="shared" si="174"/>
        <v>0</v>
      </c>
      <c r="N2135" s="35">
        <f t="shared" si="175"/>
        <v>0</v>
      </c>
      <c r="O2135" s="35">
        <f t="shared" si="176"/>
        <v>0</v>
      </c>
      <c r="P2135" s="35">
        <f t="shared" si="177"/>
        <v>0</v>
      </c>
    </row>
    <row r="2136" spans="12:16" ht="15" hidden="1" customHeight="1">
      <c r="L2136" s="43" t="str">
        <f t="shared" si="173"/>
        <v>-</v>
      </c>
      <c r="M2136" s="35">
        <f t="shared" si="174"/>
        <v>0</v>
      </c>
      <c r="N2136" s="35">
        <f t="shared" si="175"/>
        <v>0</v>
      </c>
      <c r="O2136" s="35">
        <f t="shared" si="176"/>
        <v>0</v>
      </c>
      <c r="P2136" s="35">
        <f t="shared" si="177"/>
        <v>0</v>
      </c>
    </row>
    <row r="2137" spans="12:16" ht="15" hidden="1" customHeight="1">
      <c r="L2137" s="43" t="str">
        <f t="shared" si="173"/>
        <v>-</v>
      </c>
      <c r="M2137" s="35">
        <f t="shared" si="174"/>
        <v>0</v>
      </c>
      <c r="N2137" s="35">
        <f t="shared" si="175"/>
        <v>0</v>
      </c>
      <c r="O2137" s="35">
        <f t="shared" si="176"/>
        <v>0</v>
      </c>
      <c r="P2137" s="35">
        <f t="shared" si="177"/>
        <v>0</v>
      </c>
    </row>
    <row r="2138" spans="12:16" ht="15" hidden="1" customHeight="1">
      <c r="L2138" s="43" t="str">
        <f t="shared" si="173"/>
        <v>-</v>
      </c>
      <c r="M2138" s="35">
        <f t="shared" si="174"/>
        <v>0</v>
      </c>
      <c r="N2138" s="35">
        <f t="shared" si="175"/>
        <v>0</v>
      </c>
      <c r="O2138" s="35">
        <f t="shared" si="176"/>
        <v>0</v>
      </c>
      <c r="P2138" s="35">
        <f t="shared" si="177"/>
        <v>0</v>
      </c>
    </row>
    <row r="2139" spans="12:16" ht="15" hidden="1" customHeight="1">
      <c r="L2139" s="43" t="str">
        <f t="shared" si="173"/>
        <v>-</v>
      </c>
      <c r="M2139" s="35">
        <f t="shared" si="174"/>
        <v>0</v>
      </c>
      <c r="N2139" s="35">
        <f t="shared" si="175"/>
        <v>0</v>
      </c>
      <c r="O2139" s="35">
        <f t="shared" si="176"/>
        <v>0</v>
      </c>
      <c r="P2139" s="35">
        <f t="shared" si="177"/>
        <v>0</v>
      </c>
    </row>
    <row r="2140" spans="12:16" ht="15" hidden="1" customHeight="1">
      <c r="L2140" s="43" t="str">
        <f t="shared" si="173"/>
        <v>-</v>
      </c>
      <c r="M2140" s="35">
        <f t="shared" si="174"/>
        <v>0</v>
      </c>
      <c r="N2140" s="35">
        <f t="shared" si="175"/>
        <v>0</v>
      </c>
      <c r="O2140" s="35">
        <f t="shared" si="176"/>
        <v>0</v>
      </c>
      <c r="P2140" s="35">
        <f t="shared" si="177"/>
        <v>0</v>
      </c>
    </row>
    <row r="2141" spans="12:16" ht="15" hidden="1" customHeight="1">
      <c r="L2141" s="43" t="str">
        <f t="shared" si="173"/>
        <v>-</v>
      </c>
      <c r="M2141" s="35">
        <f t="shared" si="174"/>
        <v>0</v>
      </c>
      <c r="N2141" s="35">
        <f t="shared" si="175"/>
        <v>0</v>
      </c>
      <c r="O2141" s="35">
        <f t="shared" si="176"/>
        <v>0</v>
      </c>
      <c r="P2141" s="35">
        <f t="shared" si="177"/>
        <v>0</v>
      </c>
    </row>
    <row r="2142" spans="12:16" ht="15" hidden="1" customHeight="1">
      <c r="L2142" s="43" t="str">
        <f t="shared" si="173"/>
        <v>-</v>
      </c>
      <c r="M2142" s="35">
        <f t="shared" si="174"/>
        <v>0</v>
      </c>
      <c r="N2142" s="35">
        <f t="shared" si="175"/>
        <v>0</v>
      </c>
      <c r="O2142" s="35">
        <f t="shared" si="176"/>
        <v>0</v>
      </c>
      <c r="P2142" s="35">
        <f t="shared" si="177"/>
        <v>0</v>
      </c>
    </row>
    <row r="2143" spans="12:16" ht="15" hidden="1" customHeight="1">
      <c r="L2143" s="43" t="str">
        <f t="shared" ref="L2143:L2206" si="178">IFERROR(IF(MAX(L2142+1,Дата_получения_Займа+1)&gt;Дата_погашения_Займа,"-",MAX(L2142+1,Дата_получения_Займа+1)),"-")</f>
        <v>-</v>
      </c>
      <c r="M2143" s="35">
        <f t="shared" ref="M2143:M2206" si="179">IFERROR(VLOOKUP(L2143,$B$31:$E$59,4,FALSE),0)</f>
        <v>0</v>
      </c>
      <c r="N2143" s="35">
        <f t="shared" ref="N2143:N2206" si="180">IF(ISNUMBER(N2142),N2142-M2143,$E$20)</f>
        <v>0</v>
      </c>
      <c r="O2143" s="35">
        <f t="shared" ref="O2143:O2206" si="181">IFERROR(IF(ISNUMBER(N2142),N2142,$E$20)*IF(L2143&gt;=$J$20,$E$25,$E$24)/IF(MOD(YEAR(L2143),4),365,366)*IF(ISBLANK(L2142),L2143-$E$22,L2143-L2142),0)</f>
        <v>0</v>
      </c>
      <c r="P2143" s="35">
        <f t="shared" ref="P2143:P2206" si="182">IFERROR(IF(ISNUMBER(N2142),N2142,$E$20)*3%/IF(MOD(YEAR(L2143),4),365,366)*IF(ISBLANK(L2142),(L2143-$E$22),L2143-L2142),0)</f>
        <v>0</v>
      </c>
    </row>
    <row r="2144" spans="12:16" ht="15" hidden="1" customHeight="1">
      <c r="L2144" s="43" t="str">
        <f t="shared" si="178"/>
        <v>-</v>
      </c>
      <c r="M2144" s="35">
        <f t="shared" si="179"/>
        <v>0</v>
      </c>
      <c r="N2144" s="35">
        <f t="shared" si="180"/>
        <v>0</v>
      </c>
      <c r="O2144" s="35">
        <f t="shared" si="181"/>
        <v>0</v>
      </c>
      <c r="P2144" s="35">
        <f t="shared" si="182"/>
        <v>0</v>
      </c>
    </row>
    <row r="2145" spans="12:16" ht="15" hidden="1" customHeight="1">
      <c r="L2145" s="43" t="str">
        <f t="shared" si="178"/>
        <v>-</v>
      </c>
      <c r="M2145" s="35">
        <f t="shared" si="179"/>
        <v>0</v>
      </c>
      <c r="N2145" s="35">
        <f t="shared" si="180"/>
        <v>0</v>
      </c>
      <c r="O2145" s="35">
        <f t="shared" si="181"/>
        <v>0</v>
      </c>
      <c r="P2145" s="35">
        <f t="shared" si="182"/>
        <v>0</v>
      </c>
    </row>
    <row r="2146" spans="12:16" ht="15" hidden="1" customHeight="1">
      <c r="L2146" s="43" t="str">
        <f t="shared" si="178"/>
        <v>-</v>
      </c>
      <c r="M2146" s="35">
        <f t="shared" si="179"/>
        <v>0</v>
      </c>
      <c r="N2146" s="35">
        <f t="shared" si="180"/>
        <v>0</v>
      </c>
      <c r="O2146" s="35">
        <f t="shared" si="181"/>
        <v>0</v>
      </c>
      <c r="P2146" s="35">
        <f t="shared" si="182"/>
        <v>0</v>
      </c>
    </row>
    <row r="2147" spans="12:16" ht="15" hidden="1" customHeight="1">
      <c r="L2147" s="43" t="str">
        <f t="shared" si="178"/>
        <v>-</v>
      </c>
      <c r="M2147" s="35">
        <f t="shared" si="179"/>
        <v>0</v>
      </c>
      <c r="N2147" s="35">
        <f t="shared" si="180"/>
        <v>0</v>
      </c>
      <c r="O2147" s="35">
        <f t="shared" si="181"/>
        <v>0</v>
      </c>
      <c r="P2147" s="35">
        <f t="shared" si="182"/>
        <v>0</v>
      </c>
    </row>
    <row r="2148" spans="12:16" ht="15" hidden="1" customHeight="1">
      <c r="L2148" s="43" t="str">
        <f t="shared" si="178"/>
        <v>-</v>
      </c>
      <c r="M2148" s="35">
        <f t="shared" si="179"/>
        <v>0</v>
      </c>
      <c r="N2148" s="35">
        <f t="shared" si="180"/>
        <v>0</v>
      </c>
      <c r="O2148" s="35">
        <f t="shared" si="181"/>
        <v>0</v>
      </c>
      <c r="P2148" s="35">
        <f t="shared" si="182"/>
        <v>0</v>
      </c>
    </row>
    <row r="2149" spans="12:16" ht="15" hidden="1" customHeight="1">
      <c r="L2149" s="43" t="str">
        <f t="shared" si="178"/>
        <v>-</v>
      </c>
      <c r="M2149" s="35">
        <f t="shared" si="179"/>
        <v>0</v>
      </c>
      <c r="N2149" s="35">
        <f t="shared" si="180"/>
        <v>0</v>
      </c>
      <c r="O2149" s="35">
        <f t="shared" si="181"/>
        <v>0</v>
      </c>
      <c r="P2149" s="35">
        <f t="shared" si="182"/>
        <v>0</v>
      </c>
    </row>
    <row r="2150" spans="12:16" ht="15" hidden="1" customHeight="1">
      <c r="L2150" s="43" t="str">
        <f t="shared" si="178"/>
        <v>-</v>
      </c>
      <c r="M2150" s="35">
        <f t="shared" si="179"/>
        <v>0</v>
      </c>
      <c r="N2150" s="35">
        <f t="shared" si="180"/>
        <v>0</v>
      </c>
      <c r="O2150" s="35">
        <f t="shared" si="181"/>
        <v>0</v>
      </c>
      <c r="P2150" s="35">
        <f t="shared" si="182"/>
        <v>0</v>
      </c>
    </row>
    <row r="2151" spans="12:16" ht="15" hidden="1" customHeight="1">
      <c r="L2151" s="43" t="str">
        <f t="shared" si="178"/>
        <v>-</v>
      </c>
      <c r="M2151" s="35">
        <f t="shared" si="179"/>
        <v>0</v>
      </c>
      <c r="N2151" s="35">
        <f t="shared" si="180"/>
        <v>0</v>
      </c>
      <c r="O2151" s="35">
        <f t="shared" si="181"/>
        <v>0</v>
      </c>
      <c r="P2151" s="35">
        <f t="shared" si="182"/>
        <v>0</v>
      </c>
    </row>
    <row r="2152" spans="12:16" ht="15" hidden="1" customHeight="1">
      <c r="L2152" s="43" t="str">
        <f t="shared" si="178"/>
        <v>-</v>
      </c>
      <c r="M2152" s="35">
        <f t="shared" si="179"/>
        <v>0</v>
      </c>
      <c r="N2152" s="35">
        <f t="shared" si="180"/>
        <v>0</v>
      </c>
      <c r="O2152" s="35">
        <f t="shared" si="181"/>
        <v>0</v>
      </c>
      <c r="P2152" s="35">
        <f t="shared" si="182"/>
        <v>0</v>
      </c>
    </row>
    <row r="2153" spans="12:16" ht="15" hidden="1" customHeight="1">
      <c r="L2153" s="43" t="str">
        <f t="shared" si="178"/>
        <v>-</v>
      </c>
      <c r="M2153" s="35">
        <f t="shared" si="179"/>
        <v>0</v>
      </c>
      <c r="N2153" s="35">
        <f t="shared" si="180"/>
        <v>0</v>
      </c>
      <c r="O2153" s="35">
        <f t="shared" si="181"/>
        <v>0</v>
      </c>
      <c r="P2153" s="35">
        <f t="shared" si="182"/>
        <v>0</v>
      </c>
    </row>
    <row r="2154" spans="12:16" ht="15" hidden="1" customHeight="1">
      <c r="L2154" s="43" t="str">
        <f t="shared" si="178"/>
        <v>-</v>
      </c>
      <c r="M2154" s="35">
        <f t="shared" si="179"/>
        <v>0</v>
      </c>
      <c r="N2154" s="35">
        <f t="shared" si="180"/>
        <v>0</v>
      </c>
      <c r="O2154" s="35">
        <f t="shared" si="181"/>
        <v>0</v>
      </c>
      <c r="P2154" s="35">
        <f t="shared" si="182"/>
        <v>0</v>
      </c>
    </row>
    <row r="2155" spans="12:16" ht="15" hidden="1" customHeight="1">
      <c r="L2155" s="43" t="str">
        <f t="shared" si="178"/>
        <v>-</v>
      </c>
      <c r="M2155" s="35">
        <f t="shared" si="179"/>
        <v>0</v>
      </c>
      <c r="N2155" s="35">
        <f t="shared" si="180"/>
        <v>0</v>
      </c>
      <c r="O2155" s="35">
        <f t="shared" si="181"/>
        <v>0</v>
      </c>
      <c r="P2155" s="35">
        <f t="shared" si="182"/>
        <v>0</v>
      </c>
    </row>
    <row r="2156" spans="12:16" ht="15" hidden="1" customHeight="1">
      <c r="L2156" s="43" t="str">
        <f t="shared" si="178"/>
        <v>-</v>
      </c>
      <c r="M2156" s="35">
        <f t="shared" si="179"/>
        <v>0</v>
      </c>
      <c r="N2156" s="35">
        <f t="shared" si="180"/>
        <v>0</v>
      </c>
      <c r="O2156" s="35">
        <f t="shared" si="181"/>
        <v>0</v>
      </c>
      <c r="P2156" s="35">
        <f t="shared" si="182"/>
        <v>0</v>
      </c>
    </row>
    <row r="2157" spans="12:16" ht="15" hidden="1" customHeight="1">
      <c r="L2157" s="43" t="str">
        <f t="shared" si="178"/>
        <v>-</v>
      </c>
      <c r="M2157" s="35">
        <f t="shared" si="179"/>
        <v>0</v>
      </c>
      <c r="N2157" s="35">
        <f t="shared" si="180"/>
        <v>0</v>
      </c>
      <c r="O2157" s="35">
        <f t="shared" si="181"/>
        <v>0</v>
      </c>
      <c r="P2157" s="35">
        <f t="shared" si="182"/>
        <v>0</v>
      </c>
    </row>
    <row r="2158" spans="12:16" ht="15" hidden="1" customHeight="1">
      <c r="L2158" s="43" t="str">
        <f t="shared" si="178"/>
        <v>-</v>
      </c>
      <c r="M2158" s="35">
        <f t="shared" si="179"/>
        <v>0</v>
      </c>
      <c r="N2158" s="35">
        <f t="shared" si="180"/>
        <v>0</v>
      </c>
      <c r="O2158" s="35">
        <f t="shared" si="181"/>
        <v>0</v>
      </c>
      <c r="P2158" s="35">
        <f t="shared" si="182"/>
        <v>0</v>
      </c>
    </row>
    <row r="2159" spans="12:16" ht="15" hidden="1" customHeight="1">
      <c r="L2159" s="43" t="str">
        <f t="shared" si="178"/>
        <v>-</v>
      </c>
      <c r="M2159" s="35">
        <f t="shared" si="179"/>
        <v>0</v>
      </c>
      <c r="N2159" s="35">
        <f t="shared" si="180"/>
        <v>0</v>
      </c>
      <c r="O2159" s="35">
        <f t="shared" si="181"/>
        <v>0</v>
      </c>
      <c r="P2159" s="35">
        <f t="shared" si="182"/>
        <v>0</v>
      </c>
    </row>
    <row r="2160" spans="12:16" ht="15" hidden="1" customHeight="1">
      <c r="L2160" s="43" t="str">
        <f t="shared" si="178"/>
        <v>-</v>
      </c>
      <c r="M2160" s="35">
        <f t="shared" si="179"/>
        <v>0</v>
      </c>
      <c r="N2160" s="35">
        <f t="shared" si="180"/>
        <v>0</v>
      </c>
      <c r="O2160" s="35">
        <f t="shared" si="181"/>
        <v>0</v>
      </c>
      <c r="P2160" s="35">
        <f t="shared" si="182"/>
        <v>0</v>
      </c>
    </row>
    <row r="2161" spans="12:16" ht="15" hidden="1" customHeight="1">
      <c r="L2161" s="43" t="str">
        <f t="shared" si="178"/>
        <v>-</v>
      </c>
      <c r="M2161" s="35">
        <f t="shared" si="179"/>
        <v>0</v>
      </c>
      <c r="N2161" s="35">
        <f t="shared" si="180"/>
        <v>0</v>
      </c>
      <c r="O2161" s="35">
        <f t="shared" si="181"/>
        <v>0</v>
      </c>
      <c r="P2161" s="35">
        <f t="shared" si="182"/>
        <v>0</v>
      </c>
    </row>
    <row r="2162" spans="12:16" ht="15" hidden="1" customHeight="1">
      <c r="L2162" s="43" t="str">
        <f t="shared" si="178"/>
        <v>-</v>
      </c>
      <c r="M2162" s="35">
        <f t="shared" si="179"/>
        <v>0</v>
      </c>
      <c r="N2162" s="35">
        <f t="shared" si="180"/>
        <v>0</v>
      </c>
      <c r="O2162" s="35">
        <f t="shared" si="181"/>
        <v>0</v>
      </c>
      <c r="P2162" s="35">
        <f t="shared" si="182"/>
        <v>0</v>
      </c>
    </row>
    <row r="2163" spans="12:16" ht="15" hidden="1" customHeight="1">
      <c r="L2163" s="43" t="str">
        <f t="shared" si="178"/>
        <v>-</v>
      </c>
      <c r="M2163" s="35">
        <f t="shared" si="179"/>
        <v>0</v>
      </c>
      <c r="N2163" s="35">
        <f t="shared" si="180"/>
        <v>0</v>
      </c>
      <c r="O2163" s="35">
        <f t="shared" si="181"/>
        <v>0</v>
      </c>
      <c r="P2163" s="35">
        <f t="shared" si="182"/>
        <v>0</v>
      </c>
    </row>
    <row r="2164" spans="12:16" ht="15" hidden="1" customHeight="1">
      <c r="L2164" s="43" t="str">
        <f t="shared" si="178"/>
        <v>-</v>
      </c>
      <c r="M2164" s="35">
        <f t="shared" si="179"/>
        <v>0</v>
      </c>
      <c r="N2164" s="35">
        <f t="shared" si="180"/>
        <v>0</v>
      </c>
      <c r="O2164" s="35">
        <f t="shared" si="181"/>
        <v>0</v>
      </c>
      <c r="P2164" s="35">
        <f t="shared" si="182"/>
        <v>0</v>
      </c>
    </row>
    <row r="2165" spans="12:16" ht="15" hidden="1" customHeight="1">
      <c r="L2165" s="43" t="str">
        <f t="shared" si="178"/>
        <v>-</v>
      </c>
      <c r="M2165" s="35">
        <f t="shared" si="179"/>
        <v>0</v>
      </c>
      <c r="N2165" s="35">
        <f t="shared" si="180"/>
        <v>0</v>
      </c>
      <c r="O2165" s="35">
        <f t="shared" si="181"/>
        <v>0</v>
      </c>
      <c r="P2165" s="35">
        <f t="shared" si="182"/>
        <v>0</v>
      </c>
    </row>
    <row r="2166" spans="12:16" ht="15" hidden="1" customHeight="1">
      <c r="L2166" s="43" t="str">
        <f t="shared" si="178"/>
        <v>-</v>
      </c>
      <c r="M2166" s="35">
        <f t="shared" si="179"/>
        <v>0</v>
      </c>
      <c r="N2166" s="35">
        <f t="shared" si="180"/>
        <v>0</v>
      </c>
      <c r="O2166" s="35">
        <f t="shared" si="181"/>
        <v>0</v>
      </c>
      <c r="P2166" s="35">
        <f t="shared" si="182"/>
        <v>0</v>
      </c>
    </row>
    <row r="2167" spans="12:16" ht="15" hidden="1" customHeight="1">
      <c r="L2167" s="43" t="str">
        <f t="shared" si="178"/>
        <v>-</v>
      </c>
      <c r="M2167" s="35">
        <f t="shared" si="179"/>
        <v>0</v>
      </c>
      <c r="N2167" s="35">
        <f t="shared" si="180"/>
        <v>0</v>
      </c>
      <c r="O2167" s="35">
        <f t="shared" si="181"/>
        <v>0</v>
      </c>
      <c r="P2167" s="35">
        <f t="shared" si="182"/>
        <v>0</v>
      </c>
    </row>
    <row r="2168" spans="12:16" ht="15" hidden="1" customHeight="1">
      <c r="L2168" s="43" t="str">
        <f t="shared" si="178"/>
        <v>-</v>
      </c>
      <c r="M2168" s="35">
        <f t="shared" si="179"/>
        <v>0</v>
      </c>
      <c r="N2168" s="35">
        <f t="shared" si="180"/>
        <v>0</v>
      </c>
      <c r="O2168" s="35">
        <f t="shared" si="181"/>
        <v>0</v>
      </c>
      <c r="P2168" s="35">
        <f t="shared" si="182"/>
        <v>0</v>
      </c>
    </row>
    <row r="2169" spans="12:16" ht="15" hidden="1" customHeight="1">
      <c r="L2169" s="43" t="str">
        <f t="shared" si="178"/>
        <v>-</v>
      </c>
      <c r="M2169" s="35">
        <f t="shared" si="179"/>
        <v>0</v>
      </c>
      <c r="N2169" s="35">
        <f t="shared" si="180"/>
        <v>0</v>
      </c>
      <c r="O2169" s="35">
        <f t="shared" si="181"/>
        <v>0</v>
      </c>
      <c r="P2169" s="35">
        <f t="shared" si="182"/>
        <v>0</v>
      </c>
    </row>
    <row r="2170" spans="12:16" ht="15" hidden="1" customHeight="1">
      <c r="L2170" s="43" t="str">
        <f t="shared" si="178"/>
        <v>-</v>
      </c>
      <c r="M2170" s="35">
        <f t="shared" si="179"/>
        <v>0</v>
      </c>
      <c r="N2170" s="35">
        <f t="shared" si="180"/>
        <v>0</v>
      </c>
      <c r="O2170" s="35">
        <f t="shared" si="181"/>
        <v>0</v>
      </c>
      <c r="P2170" s="35">
        <f t="shared" si="182"/>
        <v>0</v>
      </c>
    </row>
    <row r="2171" spans="12:16" ht="15" hidden="1" customHeight="1">
      <c r="L2171" s="43" t="str">
        <f t="shared" si="178"/>
        <v>-</v>
      </c>
      <c r="M2171" s="35">
        <f t="shared" si="179"/>
        <v>0</v>
      </c>
      <c r="N2171" s="35">
        <f t="shared" si="180"/>
        <v>0</v>
      </c>
      <c r="O2171" s="35">
        <f t="shared" si="181"/>
        <v>0</v>
      </c>
      <c r="P2171" s="35">
        <f t="shared" si="182"/>
        <v>0</v>
      </c>
    </row>
    <row r="2172" spans="12:16" ht="15" hidden="1" customHeight="1">
      <c r="L2172" s="43" t="str">
        <f t="shared" si="178"/>
        <v>-</v>
      </c>
      <c r="M2172" s="35">
        <f t="shared" si="179"/>
        <v>0</v>
      </c>
      <c r="N2172" s="35">
        <f t="shared" si="180"/>
        <v>0</v>
      </c>
      <c r="O2172" s="35">
        <f t="shared" si="181"/>
        <v>0</v>
      </c>
      <c r="P2172" s="35">
        <f t="shared" si="182"/>
        <v>0</v>
      </c>
    </row>
    <row r="2173" spans="12:16" ht="15" hidden="1" customHeight="1">
      <c r="L2173" s="43" t="str">
        <f t="shared" si="178"/>
        <v>-</v>
      </c>
      <c r="M2173" s="35">
        <f t="shared" si="179"/>
        <v>0</v>
      </c>
      <c r="N2173" s="35">
        <f t="shared" si="180"/>
        <v>0</v>
      </c>
      <c r="O2173" s="35">
        <f t="shared" si="181"/>
        <v>0</v>
      </c>
      <c r="P2173" s="35">
        <f t="shared" si="182"/>
        <v>0</v>
      </c>
    </row>
    <row r="2174" spans="12:16" ht="15" hidden="1" customHeight="1">
      <c r="L2174" s="43" t="str">
        <f t="shared" si="178"/>
        <v>-</v>
      </c>
      <c r="M2174" s="35">
        <f t="shared" si="179"/>
        <v>0</v>
      </c>
      <c r="N2174" s="35">
        <f t="shared" si="180"/>
        <v>0</v>
      </c>
      <c r="O2174" s="35">
        <f t="shared" si="181"/>
        <v>0</v>
      </c>
      <c r="P2174" s="35">
        <f t="shared" si="182"/>
        <v>0</v>
      </c>
    </row>
    <row r="2175" spans="12:16" ht="15" hidden="1" customHeight="1">
      <c r="L2175" s="43" t="str">
        <f t="shared" si="178"/>
        <v>-</v>
      </c>
      <c r="M2175" s="35">
        <f t="shared" si="179"/>
        <v>0</v>
      </c>
      <c r="N2175" s="35">
        <f t="shared" si="180"/>
        <v>0</v>
      </c>
      <c r="O2175" s="35">
        <f t="shared" si="181"/>
        <v>0</v>
      </c>
      <c r="P2175" s="35">
        <f t="shared" si="182"/>
        <v>0</v>
      </c>
    </row>
    <row r="2176" spans="12:16" ht="15" hidden="1" customHeight="1">
      <c r="L2176" s="43" t="str">
        <f t="shared" si="178"/>
        <v>-</v>
      </c>
      <c r="M2176" s="35">
        <f t="shared" si="179"/>
        <v>0</v>
      </c>
      <c r="N2176" s="35">
        <f t="shared" si="180"/>
        <v>0</v>
      </c>
      <c r="O2176" s="35">
        <f t="shared" si="181"/>
        <v>0</v>
      </c>
      <c r="P2176" s="35">
        <f t="shared" si="182"/>
        <v>0</v>
      </c>
    </row>
    <row r="2177" spans="12:16" ht="15" hidden="1" customHeight="1">
      <c r="L2177" s="43" t="str">
        <f t="shared" si="178"/>
        <v>-</v>
      </c>
      <c r="M2177" s="35">
        <f t="shared" si="179"/>
        <v>0</v>
      </c>
      <c r="N2177" s="35">
        <f t="shared" si="180"/>
        <v>0</v>
      </c>
      <c r="O2177" s="35">
        <f t="shared" si="181"/>
        <v>0</v>
      </c>
      <c r="P2177" s="35">
        <f t="shared" si="182"/>
        <v>0</v>
      </c>
    </row>
    <row r="2178" spans="12:16" ht="15" hidden="1" customHeight="1">
      <c r="L2178" s="43" t="str">
        <f t="shared" si="178"/>
        <v>-</v>
      </c>
      <c r="M2178" s="35">
        <f t="shared" si="179"/>
        <v>0</v>
      </c>
      <c r="N2178" s="35">
        <f t="shared" si="180"/>
        <v>0</v>
      </c>
      <c r="O2178" s="35">
        <f t="shared" si="181"/>
        <v>0</v>
      </c>
      <c r="P2178" s="35">
        <f t="shared" si="182"/>
        <v>0</v>
      </c>
    </row>
    <row r="2179" spans="12:16" ht="15" hidden="1" customHeight="1">
      <c r="L2179" s="43" t="str">
        <f t="shared" si="178"/>
        <v>-</v>
      </c>
      <c r="M2179" s="35">
        <f t="shared" si="179"/>
        <v>0</v>
      </c>
      <c r="N2179" s="35">
        <f t="shared" si="180"/>
        <v>0</v>
      </c>
      <c r="O2179" s="35">
        <f t="shared" si="181"/>
        <v>0</v>
      </c>
      <c r="P2179" s="35">
        <f t="shared" si="182"/>
        <v>0</v>
      </c>
    </row>
    <row r="2180" spans="12:16" ht="15" hidden="1" customHeight="1">
      <c r="L2180" s="43" t="str">
        <f t="shared" si="178"/>
        <v>-</v>
      </c>
      <c r="M2180" s="35">
        <f t="shared" si="179"/>
        <v>0</v>
      </c>
      <c r="N2180" s="35">
        <f t="shared" si="180"/>
        <v>0</v>
      </c>
      <c r="O2180" s="35">
        <f t="shared" si="181"/>
        <v>0</v>
      </c>
      <c r="P2180" s="35">
        <f t="shared" si="182"/>
        <v>0</v>
      </c>
    </row>
    <row r="2181" spans="12:16" ht="15" hidden="1" customHeight="1">
      <c r="L2181" s="43" t="str">
        <f t="shared" si="178"/>
        <v>-</v>
      </c>
      <c r="M2181" s="35">
        <f t="shared" si="179"/>
        <v>0</v>
      </c>
      <c r="N2181" s="35">
        <f t="shared" si="180"/>
        <v>0</v>
      </c>
      <c r="O2181" s="35">
        <f t="shared" si="181"/>
        <v>0</v>
      </c>
      <c r="P2181" s="35">
        <f t="shared" si="182"/>
        <v>0</v>
      </c>
    </row>
    <row r="2182" spans="12:16" ht="15" hidden="1" customHeight="1">
      <c r="L2182" s="43" t="str">
        <f t="shared" si="178"/>
        <v>-</v>
      </c>
      <c r="M2182" s="35">
        <f t="shared" si="179"/>
        <v>0</v>
      </c>
      <c r="N2182" s="35">
        <f t="shared" si="180"/>
        <v>0</v>
      </c>
      <c r="O2182" s="35">
        <f t="shared" si="181"/>
        <v>0</v>
      </c>
      <c r="P2182" s="35">
        <f t="shared" si="182"/>
        <v>0</v>
      </c>
    </row>
    <row r="2183" spans="12:16" ht="15" hidden="1" customHeight="1">
      <c r="L2183" s="43" t="str">
        <f t="shared" si="178"/>
        <v>-</v>
      </c>
      <c r="M2183" s="35">
        <f t="shared" si="179"/>
        <v>0</v>
      </c>
      <c r="N2183" s="35">
        <f t="shared" si="180"/>
        <v>0</v>
      </c>
      <c r="O2183" s="35">
        <f t="shared" si="181"/>
        <v>0</v>
      </c>
      <c r="P2183" s="35">
        <f t="shared" si="182"/>
        <v>0</v>
      </c>
    </row>
    <row r="2184" spans="12:16" ht="15" hidden="1" customHeight="1">
      <c r="L2184" s="43" t="str">
        <f t="shared" si="178"/>
        <v>-</v>
      </c>
      <c r="M2184" s="35">
        <f t="shared" si="179"/>
        <v>0</v>
      </c>
      <c r="N2184" s="35">
        <f t="shared" si="180"/>
        <v>0</v>
      </c>
      <c r="O2184" s="35">
        <f t="shared" si="181"/>
        <v>0</v>
      </c>
      <c r="P2184" s="35">
        <f t="shared" si="182"/>
        <v>0</v>
      </c>
    </row>
    <row r="2185" spans="12:16" ht="15" hidden="1" customHeight="1">
      <c r="L2185" s="43" t="str">
        <f t="shared" si="178"/>
        <v>-</v>
      </c>
      <c r="M2185" s="35">
        <f t="shared" si="179"/>
        <v>0</v>
      </c>
      <c r="N2185" s="35">
        <f t="shared" si="180"/>
        <v>0</v>
      </c>
      <c r="O2185" s="35">
        <f t="shared" si="181"/>
        <v>0</v>
      </c>
      <c r="P2185" s="35">
        <f t="shared" si="182"/>
        <v>0</v>
      </c>
    </row>
    <row r="2186" spans="12:16" ht="15" hidden="1" customHeight="1">
      <c r="L2186" s="43" t="str">
        <f t="shared" si="178"/>
        <v>-</v>
      </c>
      <c r="M2186" s="35">
        <f t="shared" si="179"/>
        <v>0</v>
      </c>
      <c r="N2186" s="35">
        <f t="shared" si="180"/>
        <v>0</v>
      </c>
      <c r="O2186" s="35">
        <f t="shared" si="181"/>
        <v>0</v>
      </c>
      <c r="P2186" s="35">
        <f t="shared" si="182"/>
        <v>0</v>
      </c>
    </row>
    <row r="2187" spans="12:16" ht="15" hidden="1" customHeight="1">
      <c r="L2187" s="43" t="str">
        <f t="shared" si="178"/>
        <v>-</v>
      </c>
      <c r="M2187" s="35">
        <f t="shared" si="179"/>
        <v>0</v>
      </c>
      <c r="N2187" s="35">
        <f t="shared" si="180"/>
        <v>0</v>
      </c>
      <c r="O2187" s="35">
        <f t="shared" si="181"/>
        <v>0</v>
      </c>
      <c r="P2187" s="35">
        <f t="shared" si="182"/>
        <v>0</v>
      </c>
    </row>
    <row r="2188" spans="12:16" ht="15" hidden="1" customHeight="1">
      <c r="L2188" s="43" t="str">
        <f t="shared" si="178"/>
        <v>-</v>
      </c>
      <c r="M2188" s="35">
        <f t="shared" si="179"/>
        <v>0</v>
      </c>
      <c r="N2188" s="35">
        <f t="shared" si="180"/>
        <v>0</v>
      </c>
      <c r="O2188" s="35">
        <f t="shared" si="181"/>
        <v>0</v>
      </c>
      <c r="P2188" s="35">
        <f t="shared" si="182"/>
        <v>0</v>
      </c>
    </row>
    <row r="2189" spans="12:16" ht="15" hidden="1" customHeight="1">
      <c r="L2189" s="43" t="str">
        <f t="shared" si="178"/>
        <v>-</v>
      </c>
      <c r="M2189" s="35">
        <f t="shared" si="179"/>
        <v>0</v>
      </c>
      <c r="N2189" s="35">
        <f t="shared" si="180"/>
        <v>0</v>
      </c>
      <c r="O2189" s="35">
        <f t="shared" si="181"/>
        <v>0</v>
      </c>
      <c r="P2189" s="35">
        <f t="shared" si="182"/>
        <v>0</v>
      </c>
    </row>
    <row r="2190" spans="12:16" ht="15" hidden="1" customHeight="1">
      <c r="L2190" s="43" t="str">
        <f t="shared" si="178"/>
        <v>-</v>
      </c>
      <c r="M2190" s="35">
        <f t="shared" si="179"/>
        <v>0</v>
      </c>
      <c r="N2190" s="35">
        <f t="shared" si="180"/>
        <v>0</v>
      </c>
      <c r="O2190" s="35">
        <f t="shared" si="181"/>
        <v>0</v>
      </c>
      <c r="P2190" s="35">
        <f t="shared" si="182"/>
        <v>0</v>
      </c>
    </row>
    <row r="2191" spans="12:16" ht="15" hidden="1" customHeight="1">
      <c r="L2191" s="43" t="str">
        <f t="shared" si="178"/>
        <v>-</v>
      </c>
      <c r="M2191" s="35">
        <f t="shared" si="179"/>
        <v>0</v>
      </c>
      <c r="N2191" s="35">
        <f t="shared" si="180"/>
        <v>0</v>
      </c>
      <c r="O2191" s="35">
        <f t="shared" si="181"/>
        <v>0</v>
      </c>
      <c r="P2191" s="35">
        <f t="shared" si="182"/>
        <v>0</v>
      </c>
    </row>
    <row r="2192" spans="12:16" ht="15" hidden="1" customHeight="1">
      <c r="L2192" s="43" t="str">
        <f t="shared" si="178"/>
        <v>-</v>
      </c>
      <c r="M2192" s="35">
        <f t="shared" si="179"/>
        <v>0</v>
      </c>
      <c r="N2192" s="35">
        <f t="shared" si="180"/>
        <v>0</v>
      </c>
      <c r="O2192" s="35">
        <f t="shared" si="181"/>
        <v>0</v>
      </c>
      <c r="P2192" s="35">
        <f t="shared" si="182"/>
        <v>0</v>
      </c>
    </row>
    <row r="2193" spans="12:16" ht="15" hidden="1" customHeight="1">
      <c r="L2193" s="43" t="str">
        <f t="shared" si="178"/>
        <v>-</v>
      </c>
      <c r="M2193" s="35">
        <f t="shared" si="179"/>
        <v>0</v>
      </c>
      <c r="N2193" s="35">
        <f t="shared" si="180"/>
        <v>0</v>
      </c>
      <c r="O2193" s="35">
        <f t="shared" si="181"/>
        <v>0</v>
      </c>
      <c r="P2193" s="35">
        <f t="shared" si="182"/>
        <v>0</v>
      </c>
    </row>
    <row r="2194" spans="12:16" ht="15" hidden="1" customHeight="1">
      <c r="L2194" s="43" t="str">
        <f t="shared" si="178"/>
        <v>-</v>
      </c>
      <c r="M2194" s="35">
        <f t="shared" si="179"/>
        <v>0</v>
      </c>
      <c r="N2194" s="35">
        <f t="shared" si="180"/>
        <v>0</v>
      </c>
      <c r="O2194" s="35">
        <f t="shared" si="181"/>
        <v>0</v>
      </c>
      <c r="P2194" s="35">
        <f t="shared" si="182"/>
        <v>0</v>
      </c>
    </row>
    <row r="2195" spans="12:16" ht="15" hidden="1" customHeight="1">
      <c r="L2195" s="43" t="str">
        <f t="shared" si="178"/>
        <v>-</v>
      </c>
      <c r="M2195" s="35">
        <f t="shared" si="179"/>
        <v>0</v>
      </c>
      <c r="N2195" s="35">
        <f t="shared" si="180"/>
        <v>0</v>
      </c>
      <c r="O2195" s="35">
        <f t="shared" si="181"/>
        <v>0</v>
      </c>
      <c r="P2195" s="35">
        <f t="shared" si="182"/>
        <v>0</v>
      </c>
    </row>
    <row r="2196" spans="12:16" ht="15" hidden="1" customHeight="1">
      <c r="L2196" s="43" t="str">
        <f t="shared" si="178"/>
        <v>-</v>
      </c>
      <c r="M2196" s="35">
        <f t="shared" si="179"/>
        <v>0</v>
      </c>
      <c r="N2196" s="35">
        <f t="shared" si="180"/>
        <v>0</v>
      </c>
      <c r="O2196" s="35">
        <f t="shared" si="181"/>
        <v>0</v>
      </c>
      <c r="P2196" s="35">
        <f t="shared" si="182"/>
        <v>0</v>
      </c>
    </row>
    <row r="2197" spans="12:16" ht="15" hidden="1" customHeight="1">
      <c r="L2197" s="43" t="str">
        <f t="shared" si="178"/>
        <v>-</v>
      </c>
      <c r="M2197" s="35">
        <f t="shared" si="179"/>
        <v>0</v>
      </c>
      <c r="N2197" s="35">
        <f t="shared" si="180"/>
        <v>0</v>
      </c>
      <c r="O2197" s="35">
        <f t="shared" si="181"/>
        <v>0</v>
      </c>
      <c r="P2197" s="35">
        <f t="shared" si="182"/>
        <v>0</v>
      </c>
    </row>
    <row r="2198" spans="12:16" ht="15" hidden="1" customHeight="1">
      <c r="L2198" s="43" t="str">
        <f t="shared" si="178"/>
        <v>-</v>
      </c>
      <c r="M2198" s="35">
        <f t="shared" si="179"/>
        <v>0</v>
      </c>
      <c r="N2198" s="35">
        <f t="shared" si="180"/>
        <v>0</v>
      </c>
      <c r="O2198" s="35">
        <f t="shared" si="181"/>
        <v>0</v>
      </c>
      <c r="P2198" s="35">
        <f t="shared" si="182"/>
        <v>0</v>
      </c>
    </row>
    <row r="2199" spans="12:16" ht="15" hidden="1" customHeight="1">
      <c r="L2199" s="43" t="str">
        <f t="shared" si="178"/>
        <v>-</v>
      </c>
      <c r="M2199" s="35">
        <f t="shared" si="179"/>
        <v>0</v>
      </c>
      <c r="N2199" s="35">
        <f t="shared" si="180"/>
        <v>0</v>
      </c>
      <c r="O2199" s="35">
        <f t="shared" si="181"/>
        <v>0</v>
      </c>
      <c r="P2199" s="35">
        <f t="shared" si="182"/>
        <v>0</v>
      </c>
    </row>
    <row r="2200" spans="12:16" ht="15" hidden="1" customHeight="1">
      <c r="L2200" s="43" t="str">
        <f t="shared" si="178"/>
        <v>-</v>
      </c>
      <c r="M2200" s="35">
        <f t="shared" si="179"/>
        <v>0</v>
      </c>
      <c r="N2200" s="35">
        <f t="shared" si="180"/>
        <v>0</v>
      </c>
      <c r="O2200" s="35">
        <f t="shared" si="181"/>
        <v>0</v>
      </c>
      <c r="P2200" s="35">
        <f t="shared" si="182"/>
        <v>0</v>
      </c>
    </row>
    <row r="2201" spans="12:16" ht="15" hidden="1" customHeight="1">
      <c r="L2201" s="43" t="str">
        <f t="shared" si="178"/>
        <v>-</v>
      </c>
      <c r="M2201" s="35">
        <f t="shared" si="179"/>
        <v>0</v>
      </c>
      <c r="N2201" s="35">
        <f t="shared" si="180"/>
        <v>0</v>
      </c>
      <c r="O2201" s="35">
        <f t="shared" si="181"/>
        <v>0</v>
      </c>
      <c r="P2201" s="35">
        <f t="shared" si="182"/>
        <v>0</v>
      </c>
    </row>
    <row r="2202" spans="12:16" ht="15" hidden="1" customHeight="1">
      <c r="L2202" s="43" t="str">
        <f t="shared" si="178"/>
        <v>-</v>
      </c>
      <c r="M2202" s="35">
        <f t="shared" si="179"/>
        <v>0</v>
      </c>
      <c r="N2202" s="35">
        <f t="shared" si="180"/>
        <v>0</v>
      </c>
      <c r="O2202" s="35">
        <f t="shared" si="181"/>
        <v>0</v>
      </c>
      <c r="P2202" s="35">
        <f t="shared" si="182"/>
        <v>0</v>
      </c>
    </row>
    <row r="2203" spans="12:16" ht="15" hidden="1" customHeight="1">
      <c r="L2203" s="43" t="str">
        <f t="shared" si="178"/>
        <v>-</v>
      </c>
      <c r="M2203" s="35">
        <f t="shared" si="179"/>
        <v>0</v>
      </c>
      <c r="N2203" s="35">
        <f t="shared" si="180"/>
        <v>0</v>
      </c>
      <c r="O2203" s="35">
        <f t="shared" si="181"/>
        <v>0</v>
      </c>
      <c r="P2203" s="35">
        <f t="shared" si="182"/>
        <v>0</v>
      </c>
    </row>
    <row r="2204" spans="12:16" ht="15" hidden="1" customHeight="1">
      <c r="L2204" s="43" t="str">
        <f t="shared" si="178"/>
        <v>-</v>
      </c>
      <c r="M2204" s="35">
        <f t="shared" si="179"/>
        <v>0</v>
      </c>
      <c r="N2204" s="35">
        <f t="shared" si="180"/>
        <v>0</v>
      </c>
      <c r="O2204" s="35">
        <f t="shared" si="181"/>
        <v>0</v>
      </c>
      <c r="P2204" s="35">
        <f t="shared" si="182"/>
        <v>0</v>
      </c>
    </row>
    <row r="2205" spans="12:16" ht="15" hidden="1" customHeight="1">
      <c r="L2205" s="43" t="str">
        <f t="shared" si="178"/>
        <v>-</v>
      </c>
      <c r="M2205" s="35">
        <f t="shared" si="179"/>
        <v>0</v>
      </c>
      <c r="N2205" s="35">
        <f t="shared" si="180"/>
        <v>0</v>
      </c>
      <c r="O2205" s="35">
        <f t="shared" si="181"/>
        <v>0</v>
      </c>
      <c r="P2205" s="35">
        <f t="shared" si="182"/>
        <v>0</v>
      </c>
    </row>
    <row r="2206" spans="12:16" ht="15" hidden="1" customHeight="1">
      <c r="L2206" s="43" t="str">
        <f t="shared" si="178"/>
        <v>-</v>
      </c>
      <c r="M2206" s="35">
        <f t="shared" si="179"/>
        <v>0</v>
      </c>
      <c r="N2206" s="35">
        <f t="shared" si="180"/>
        <v>0</v>
      </c>
      <c r="O2206" s="35">
        <f t="shared" si="181"/>
        <v>0</v>
      </c>
      <c r="P2206" s="35">
        <f t="shared" si="182"/>
        <v>0</v>
      </c>
    </row>
    <row r="2207" spans="12:16" ht="15" hidden="1" customHeight="1">
      <c r="L2207" s="43" t="str">
        <f t="shared" ref="L2207:L2270" si="183">IFERROR(IF(MAX(L2206+1,Дата_получения_Займа+1)&gt;Дата_погашения_Займа,"-",MAX(L2206+1,Дата_получения_Займа+1)),"-")</f>
        <v>-</v>
      </c>
      <c r="M2207" s="35">
        <f t="shared" ref="M2207:M2270" si="184">IFERROR(VLOOKUP(L2207,$B$31:$E$59,4,FALSE),0)</f>
        <v>0</v>
      </c>
      <c r="N2207" s="35">
        <f t="shared" ref="N2207:N2270" si="185">IF(ISNUMBER(N2206),N2206-M2207,$E$20)</f>
        <v>0</v>
      </c>
      <c r="O2207" s="35">
        <f t="shared" ref="O2207:O2270" si="186">IFERROR(IF(ISNUMBER(N2206),N2206,$E$20)*IF(L2207&gt;=$J$20,$E$25,$E$24)/IF(MOD(YEAR(L2207),4),365,366)*IF(ISBLANK(L2206),L2207-$E$22,L2207-L2206),0)</f>
        <v>0</v>
      </c>
      <c r="P2207" s="35">
        <f t="shared" ref="P2207:P2270" si="187">IFERROR(IF(ISNUMBER(N2206),N2206,$E$20)*3%/IF(MOD(YEAR(L2207),4),365,366)*IF(ISBLANK(L2206),(L2207-$E$22),L2207-L2206),0)</f>
        <v>0</v>
      </c>
    </row>
    <row r="2208" spans="12:16" ht="15" hidden="1" customHeight="1">
      <c r="L2208" s="43" t="str">
        <f t="shared" si="183"/>
        <v>-</v>
      </c>
      <c r="M2208" s="35">
        <f t="shared" si="184"/>
        <v>0</v>
      </c>
      <c r="N2208" s="35">
        <f t="shared" si="185"/>
        <v>0</v>
      </c>
      <c r="O2208" s="35">
        <f t="shared" si="186"/>
        <v>0</v>
      </c>
      <c r="P2208" s="35">
        <f t="shared" si="187"/>
        <v>0</v>
      </c>
    </row>
    <row r="2209" spans="12:16" ht="15" hidden="1" customHeight="1">
      <c r="L2209" s="43" t="str">
        <f t="shared" si="183"/>
        <v>-</v>
      </c>
      <c r="M2209" s="35">
        <f t="shared" si="184"/>
        <v>0</v>
      </c>
      <c r="N2209" s="35">
        <f t="shared" si="185"/>
        <v>0</v>
      </c>
      <c r="O2209" s="35">
        <f t="shared" si="186"/>
        <v>0</v>
      </c>
      <c r="P2209" s="35">
        <f t="shared" si="187"/>
        <v>0</v>
      </c>
    </row>
    <row r="2210" spans="12:16" ht="15" hidden="1" customHeight="1">
      <c r="L2210" s="43" t="str">
        <f t="shared" si="183"/>
        <v>-</v>
      </c>
      <c r="M2210" s="35">
        <f t="shared" si="184"/>
        <v>0</v>
      </c>
      <c r="N2210" s="35">
        <f t="shared" si="185"/>
        <v>0</v>
      </c>
      <c r="O2210" s="35">
        <f t="shared" si="186"/>
        <v>0</v>
      </c>
      <c r="P2210" s="35">
        <f t="shared" si="187"/>
        <v>0</v>
      </c>
    </row>
    <row r="2211" spans="12:16" ht="15" hidden="1" customHeight="1">
      <c r="L2211" s="43" t="str">
        <f t="shared" si="183"/>
        <v>-</v>
      </c>
      <c r="M2211" s="35">
        <f t="shared" si="184"/>
        <v>0</v>
      </c>
      <c r="N2211" s="35">
        <f t="shared" si="185"/>
        <v>0</v>
      </c>
      <c r="O2211" s="35">
        <f t="shared" si="186"/>
        <v>0</v>
      </c>
      <c r="P2211" s="35">
        <f t="shared" si="187"/>
        <v>0</v>
      </c>
    </row>
    <row r="2212" spans="12:16" ht="15" hidden="1" customHeight="1">
      <c r="L2212" s="43" t="str">
        <f t="shared" si="183"/>
        <v>-</v>
      </c>
      <c r="M2212" s="35">
        <f t="shared" si="184"/>
        <v>0</v>
      </c>
      <c r="N2212" s="35">
        <f t="shared" si="185"/>
        <v>0</v>
      </c>
      <c r="O2212" s="35">
        <f t="shared" si="186"/>
        <v>0</v>
      </c>
      <c r="P2212" s="35">
        <f t="shared" si="187"/>
        <v>0</v>
      </c>
    </row>
    <row r="2213" spans="12:16" ht="15" hidden="1" customHeight="1">
      <c r="L2213" s="43" t="str">
        <f t="shared" si="183"/>
        <v>-</v>
      </c>
      <c r="M2213" s="35">
        <f t="shared" si="184"/>
        <v>0</v>
      </c>
      <c r="N2213" s="35">
        <f t="shared" si="185"/>
        <v>0</v>
      </c>
      <c r="O2213" s="35">
        <f t="shared" si="186"/>
        <v>0</v>
      </c>
      <c r="P2213" s="35">
        <f t="shared" si="187"/>
        <v>0</v>
      </c>
    </row>
    <row r="2214" spans="12:16" ht="15" hidden="1" customHeight="1">
      <c r="L2214" s="43" t="str">
        <f t="shared" si="183"/>
        <v>-</v>
      </c>
      <c r="M2214" s="35">
        <f t="shared" si="184"/>
        <v>0</v>
      </c>
      <c r="N2214" s="35">
        <f t="shared" si="185"/>
        <v>0</v>
      </c>
      <c r="O2214" s="35">
        <f t="shared" si="186"/>
        <v>0</v>
      </c>
      <c r="P2214" s="35">
        <f t="shared" si="187"/>
        <v>0</v>
      </c>
    </row>
    <row r="2215" spans="12:16" ht="15" hidden="1" customHeight="1">
      <c r="L2215" s="43" t="str">
        <f t="shared" si="183"/>
        <v>-</v>
      </c>
      <c r="M2215" s="35">
        <f t="shared" si="184"/>
        <v>0</v>
      </c>
      <c r="N2215" s="35">
        <f t="shared" si="185"/>
        <v>0</v>
      </c>
      <c r="O2215" s="35">
        <f t="shared" si="186"/>
        <v>0</v>
      </c>
      <c r="P2215" s="35">
        <f t="shared" si="187"/>
        <v>0</v>
      </c>
    </row>
    <row r="2216" spans="12:16" ht="15" hidden="1" customHeight="1">
      <c r="L2216" s="43" t="str">
        <f t="shared" si="183"/>
        <v>-</v>
      </c>
      <c r="M2216" s="35">
        <f t="shared" si="184"/>
        <v>0</v>
      </c>
      <c r="N2216" s="35">
        <f t="shared" si="185"/>
        <v>0</v>
      </c>
      <c r="O2216" s="35">
        <f t="shared" si="186"/>
        <v>0</v>
      </c>
      <c r="P2216" s="35">
        <f t="shared" si="187"/>
        <v>0</v>
      </c>
    </row>
    <row r="2217" spans="12:16" ht="15" hidden="1" customHeight="1">
      <c r="L2217" s="43" t="str">
        <f t="shared" si="183"/>
        <v>-</v>
      </c>
      <c r="M2217" s="35">
        <f t="shared" si="184"/>
        <v>0</v>
      </c>
      <c r="N2217" s="35">
        <f t="shared" si="185"/>
        <v>0</v>
      </c>
      <c r="O2217" s="35">
        <f t="shared" si="186"/>
        <v>0</v>
      </c>
      <c r="P2217" s="35">
        <f t="shared" si="187"/>
        <v>0</v>
      </c>
    </row>
    <row r="2218" spans="12:16" ht="15" hidden="1" customHeight="1">
      <c r="L2218" s="43" t="str">
        <f t="shared" si="183"/>
        <v>-</v>
      </c>
      <c r="M2218" s="35">
        <f t="shared" si="184"/>
        <v>0</v>
      </c>
      <c r="N2218" s="35">
        <f t="shared" si="185"/>
        <v>0</v>
      </c>
      <c r="O2218" s="35">
        <f t="shared" si="186"/>
        <v>0</v>
      </c>
      <c r="P2218" s="35">
        <f t="shared" si="187"/>
        <v>0</v>
      </c>
    </row>
    <row r="2219" spans="12:16" ht="15" hidden="1" customHeight="1">
      <c r="L2219" s="43" t="str">
        <f t="shared" si="183"/>
        <v>-</v>
      </c>
      <c r="M2219" s="35">
        <f t="shared" si="184"/>
        <v>0</v>
      </c>
      <c r="N2219" s="35">
        <f t="shared" si="185"/>
        <v>0</v>
      </c>
      <c r="O2219" s="35">
        <f t="shared" si="186"/>
        <v>0</v>
      </c>
      <c r="P2219" s="35">
        <f t="shared" si="187"/>
        <v>0</v>
      </c>
    </row>
    <row r="2220" spans="12:16" ht="15" hidden="1" customHeight="1">
      <c r="L2220" s="43" t="str">
        <f t="shared" si="183"/>
        <v>-</v>
      </c>
      <c r="M2220" s="35">
        <f t="shared" si="184"/>
        <v>0</v>
      </c>
      <c r="N2220" s="35">
        <f t="shared" si="185"/>
        <v>0</v>
      </c>
      <c r="O2220" s="35">
        <f t="shared" si="186"/>
        <v>0</v>
      </c>
      <c r="P2220" s="35">
        <f t="shared" si="187"/>
        <v>0</v>
      </c>
    </row>
    <row r="2221" spans="12:16" ht="15" hidden="1" customHeight="1">
      <c r="L2221" s="43" t="str">
        <f t="shared" si="183"/>
        <v>-</v>
      </c>
      <c r="M2221" s="35">
        <f t="shared" si="184"/>
        <v>0</v>
      </c>
      <c r="N2221" s="35">
        <f t="shared" si="185"/>
        <v>0</v>
      </c>
      <c r="O2221" s="35">
        <f t="shared" si="186"/>
        <v>0</v>
      </c>
      <c r="P2221" s="35">
        <f t="shared" si="187"/>
        <v>0</v>
      </c>
    </row>
    <row r="2222" spans="12:16" ht="15" hidden="1" customHeight="1">
      <c r="L2222" s="43" t="str">
        <f t="shared" si="183"/>
        <v>-</v>
      </c>
      <c r="M2222" s="35">
        <f t="shared" si="184"/>
        <v>0</v>
      </c>
      <c r="N2222" s="35">
        <f t="shared" si="185"/>
        <v>0</v>
      </c>
      <c r="O2222" s="35">
        <f t="shared" si="186"/>
        <v>0</v>
      </c>
      <c r="P2222" s="35">
        <f t="shared" si="187"/>
        <v>0</v>
      </c>
    </row>
    <row r="2223" spans="12:16" ht="15" hidden="1" customHeight="1">
      <c r="L2223" s="43" t="str">
        <f t="shared" si="183"/>
        <v>-</v>
      </c>
      <c r="M2223" s="35">
        <f t="shared" si="184"/>
        <v>0</v>
      </c>
      <c r="N2223" s="35">
        <f t="shared" si="185"/>
        <v>0</v>
      </c>
      <c r="O2223" s="35">
        <f t="shared" si="186"/>
        <v>0</v>
      </c>
      <c r="P2223" s="35">
        <f t="shared" si="187"/>
        <v>0</v>
      </c>
    </row>
    <row r="2224" spans="12:16" ht="15" hidden="1" customHeight="1">
      <c r="L2224" s="43" t="str">
        <f t="shared" si="183"/>
        <v>-</v>
      </c>
      <c r="M2224" s="35">
        <f t="shared" si="184"/>
        <v>0</v>
      </c>
      <c r="N2224" s="35">
        <f t="shared" si="185"/>
        <v>0</v>
      </c>
      <c r="O2224" s="35">
        <f t="shared" si="186"/>
        <v>0</v>
      </c>
      <c r="P2224" s="35">
        <f t="shared" si="187"/>
        <v>0</v>
      </c>
    </row>
    <row r="2225" spans="12:16" ht="15" hidden="1" customHeight="1">
      <c r="L2225" s="43" t="str">
        <f t="shared" si="183"/>
        <v>-</v>
      </c>
      <c r="M2225" s="35">
        <f t="shared" si="184"/>
        <v>0</v>
      </c>
      <c r="N2225" s="35">
        <f t="shared" si="185"/>
        <v>0</v>
      </c>
      <c r="O2225" s="35">
        <f t="shared" si="186"/>
        <v>0</v>
      </c>
      <c r="P2225" s="35">
        <f t="shared" si="187"/>
        <v>0</v>
      </c>
    </row>
    <row r="2226" spans="12:16" ht="15" hidden="1" customHeight="1">
      <c r="L2226" s="43" t="str">
        <f t="shared" si="183"/>
        <v>-</v>
      </c>
      <c r="M2226" s="35">
        <f t="shared" si="184"/>
        <v>0</v>
      </c>
      <c r="N2226" s="35">
        <f t="shared" si="185"/>
        <v>0</v>
      </c>
      <c r="O2226" s="35">
        <f t="shared" si="186"/>
        <v>0</v>
      </c>
      <c r="P2226" s="35">
        <f t="shared" si="187"/>
        <v>0</v>
      </c>
    </row>
    <row r="2227" spans="12:16" ht="15" hidden="1" customHeight="1">
      <c r="L2227" s="43" t="str">
        <f t="shared" si="183"/>
        <v>-</v>
      </c>
      <c r="M2227" s="35">
        <f t="shared" si="184"/>
        <v>0</v>
      </c>
      <c r="N2227" s="35">
        <f t="shared" si="185"/>
        <v>0</v>
      </c>
      <c r="O2227" s="35">
        <f t="shared" si="186"/>
        <v>0</v>
      </c>
      <c r="P2227" s="35">
        <f t="shared" si="187"/>
        <v>0</v>
      </c>
    </row>
    <row r="2228" spans="12:16" ht="15" hidden="1" customHeight="1">
      <c r="L2228" s="43" t="str">
        <f t="shared" si="183"/>
        <v>-</v>
      </c>
      <c r="M2228" s="35">
        <f t="shared" si="184"/>
        <v>0</v>
      </c>
      <c r="N2228" s="35">
        <f t="shared" si="185"/>
        <v>0</v>
      </c>
      <c r="O2228" s="35">
        <f t="shared" si="186"/>
        <v>0</v>
      </c>
      <c r="P2228" s="35">
        <f t="shared" si="187"/>
        <v>0</v>
      </c>
    </row>
    <row r="2229" spans="12:16" ht="15" hidden="1" customHeight="1">
      <c r="L2229" s="43" t="str">
        <f t="shared" si="183"/>
        <v>-</v>
      </c>
      <c r="M2229" s="35">
        <f t="shared" si="184"/>
        <v>0</v>
      </c>
      <c r="N2229" s="35">
        <f t="shared" si="185"/>
        <v>0</v>
      </c>
      <c r="O2229" s="35">
        <f t="shared" si="186"/>
        <v>0</v>
      </c>
      <c r="P2229" s="35">
        <f t="shared" si="187"/>
        <v>0</v>
      </c>
    </row>
    <row r="2230" spans="12:16" ht="15" hidden="1" customHeight="1">
      <c r="L2230" s="43" t="str">
        <f t="shared" si="183"/>
        <v>-</v>
      </c>
      <c r="M2230" s="35">
        <f t="shared" si="184"/>
        <v>0</v>
      </c>
      <c r="N2230" s="35">
        <f t="shared" si="185"/>
        <v>0</v>
      </c>
      <c r="O2230" s="35">
        <f t="shared" si="186"/>
        <v>0</v>
      </c>
      <c r="P2230" s="35">
        <f t="shared" si="187"/>
        <v>0</v>
      </c>
    </row>
    <row r="2231" spans="12:16" ht="15" hidden="1" customHeight="1">
      <c r="L2231" s="43" t="str">
        <f t="shared" si="183"/>
        <v>-</v>
      </c>
      <c r="M2231" s="35">
        <f t="shared" si="184"/>
        <v>0</v>
      </c>
      <c r="N2231" s="35">
        <f t="shared" si="185"/>
        <v>0</v>
      </c>
      <c r="O2231" s="35">
        <f t="shared" si="186"/>
        <v>0</v>
      </c>
      <c r="P2231" s="35">
        <f t="shared" si="187"/>
        <v>0</v>
      </c>
    </row>
    <row r="2232" spans="12:16" ht="15" hidden="1" customHeight="1">
      <c r="L2232" s="43" t="str">
        <f t="shared" si="183"/>
        <v>-</v>
      </c>
      <c r="M2232" s="35">
        <f t="shared" si="184"/>
        <v>0</v>
      </c>
      <c r="N2232" s="35">
        <f t="shared" si="185"/>
        <v>0</v>
      </c>
      <c r="O2232" s="35">
        <f t="shared" si="186"/>
        <v>0</v>
      </c>
      <c r="P2232" s="35">
        <f t="shared" si="187"/>
        <v>0</v>
      </c>
    </row>
    <row r="2233" spans="12:16" ht="15" hidden="1" customHeight="1">
      <c r="L2233" s="43" t="str">
        <f t="shared" si="183"/>
        <v>-</v>
      </c>
      <c r="M2233" s="35">
        <f t="shared" si="184"/>
        <v>0</v>
      </c>
      <c r="N2233" s="35">
        <f t="shared" si="185"/>
        <v>0</v>
      </c>
      <c r="O2233" s="35">
        <f t="shared" si="186"/>
        <v>0</v>
      </c>
      <c r="P2233" s="35">
        <f t="shared" si="187"/>
        <v>0</v>
      </c>
    </row>
    <row r="2234" spans="12:16" ht="15" hidden="1" customHeight="1">
      <c r="L2234" s="43" t="str">
        <f t="shared" si="183"/>
        <v>-</v>
      </c>
      <c r="M2234" s="35">
        <f t="shared" si="184"/>
        <v>0</v>
      </c>
      <c r="N2234" s="35">
        <f t="shared" si="185"/>
        <v>0</v>
      </c>
      <c r="O2234" s="35">
        <f t="shared" si="186"/>
        <v>0</v>
      </c>
      <c r="P2234" s="35">
        <f t="shared" si="187"/>
        <v>0</v>
      </c>
    </row>
    <row r="2235" spans="12:16" ht="15" hidden="1" customHeight="1">
      <c r="L2235" s="43" t="str">
        <f t="shared" si="183"/>
        <v>-</v>
      </c>
      <c r="M2235" s="35">
        <f t="shared" si="184"/>
        <v>0</v>
      </c>
      <c r="N2235" s="35">
        <f t="shared" si="185"/>
        <v>0</v>
      </c>
      <c r="O2235" s="35">
        <f t="shared" si="186"/>
        <v>0</v>
      </c>
      <c r="P2235" s="35">
        <f t="shared" si="187"/>
        <v>0</v>
      </c>
    </row>
    <row r="2236" spans="12:16" ht="15" hidden="1" customHeight="1">
      <c r="L2236" s="43" t="str">
        <f t="shared" si="183"/>
        <v>-</v>
      </c>
      <c r="M2236" s="35">
        <f t="shared" si="184"/>
        <v>0</v>
      </c>
      <c r="N2236" s="35">
        <f t="shared" si="185"/>
        <v>0</v>
      </c>
      <c r="O2236" s="35">
        <f t="shared" si="186"/>
        <v>0</v>
      </c>
      <c r="P2236" s="35">
        <f t="shared" si="187"/>
        <v>0</v>
      </c>
    </row>
    <row r="2237" spans="12:16" ht="15" hidden="1" customHeight="1">
      <c r="L2237" s="43" t="str">
        <f t="shared" si="183"/>
        <v>-</v>
      </c>
      <c r="M2237" s="35">
        <f t="shared" si="184"/>
        <v>0</v>
      </c>
      <c r="N2237" s="35">
        <f t="shared" si="185"/>
        <v>0</v>
      </c>
      <c r="O2237" s="35">
        <f t="shared" si="186"/>
        <v>0</v>
      </c>
      <c r="P2237" s="35">
        <f t="shared" si="187"/>
        <v>0</v>
      </c>
    </row>
    <row r="2238" spans="12:16" ht="15" hidden="1" customHeight="1">
      <c r="L2238" s="43" t="str">
        <f t="shared" si="183"/>
        <v>-</v>
      </c>
      <c r="M2238" s="35">
        <f t="shared" si="184"/>
        <v>0</v>
      </c>
      <c r="N2238" s="35">
        <f t="shared" si="185"/>
        <v>0</v>
      </c>
      <c r="O2238" s="35">
        <f t="shared" si="186"/>
        <v>0</v>
      </c>
      <c r="P2238" s="35">
        <f t="shared" si="187"/>
        <v>0</v>
      </c>
    </row>
    <row r="2239" spans="12:16" ht="15" hidden="1" customHeight="1">
      <c r="L2239" s="43" t="str">
        <f t="shared" si="183"/>
        <v>-</v>
      </c>
      <c r="M2239" s="35">
        <f t="shared" si="184"/>
        <v>0</v>
      </c>
      <c r="N2239" s="35">
        <f t="shared" si="185"/>
        <v>0</v>
      </c>
      <c r="O2239" s="35">
        <f t="shared" si="186"/>
        <v>0</v>
      </c>
      <c r="P2239" s="35">
        <f t="shared" si="187"/>
        <v>0</v>
      </c>
    </row>
    <row r="2240" spans="12:16" ht="15" hidden="1" customHeight="1">
      <c r="L2240" s="43" t="str">
        <f t="shared" si="183"/>
        <v>-</v>
      </c>
      <c r="M2240" s="35">
        <f t="shared" si="184"/>
        <v>0</v>
      </c>
      <c r="N2240" s="35">
        <f t="shared" si="185"/>
        <v>0</v>
      </c>
      <c r="O2240" s="35">
        <f t="shared" si="186"/>
        <v>0</v>
      </c>
      <c r="P2240" s="35">
        <f t="shared" si="187"/>
        <v>0</v>
      </c>
    </row>
    <row r="2241" spans="12:16" ht="15" hidden="1" customHeight="1">
      <c r="L2241" s="43" t="str">
        <f t="shared" si="183"/>
        <v>-</v>
      </c>
      <c r="M2241" s="35">
        <f t="shared" si="184"/>
        <v>0</v>
      </c>
      <c r="N2241" s="35">
        <f t="shared" si="185"/>
        <v>0</v>
      </c>
      <c r="O2241" s="35">
        <f t="shared" si="186"/>
        <v>0</v>
      </c>
      <c r="P2241" s="35">
        <f t="shared" si="187"/>
        <v>0</v>
      </c>
    </row>
    <row r="2242" spans="12:16" ht="15" hidden="1" customHeight="1">
      <c r="L2242" s="43" t="str">
        <f t="shared" si="183"/>
        <v>-</v>
      </c>
      <c r="M2242" s="35">
        <f t="shared" si="184"/>
        <v>0</v>
      </c>
      <c r="N2242" s="35">
        <f t="shared" si="185"/>
        <v>0</v>
      </c>
      <c r="O2242" s="35">
        <f t="shared" si="186"/>
        <v>0</v>
      </c>
      <c r="P2242" s="35">
        <f t="shared" si="187"/>
        <v>0</v>
      </c>
    </row>
    <row r="2243" spans="12:16" ht="15" hidden="1" customHeight="1">
      <c r="L2243" s="43" t="str">
        <f t="shared" si="183"/>
        <v>-</v>
      </c>
      <c r="M2243" s="35">
        <f t="shared" si="184"/>
        <v>0</v>
      </c>
      <c r="N2243" s="35">
        <f t="shared" si="185"/>
        <v>0</v>
      </c>
      <c r="O2243" s="35">
        <f t="shared" si="186"/>
        <v>0</v>
      </c>
      <c r="P2243" s="35">
        <f t="shared" si="187"/>
        <v>0</v>
      </c>
    </row>
    <row r="2244" spans="12:16" ht="15" hidden="1" customHeight="1">
      <c r="L2244" s="43" t="str">
        <f t="shared" si="183"/>
        <v>-</v>
      </c>
      <c r="M2244" s="35">
        <f t="shared" si="184"/>
        <v>0</v>
      </c>
      <c r="N2244" s="35">
        <f t="shared" si="185"/>
        <v>0</v>
      </c>
      <c r="O2244" s="35">
        <f t="shared" si="186"/>
        <v>0</v>
      </c>
      <c r="P2244" s="35">
        <f t="shared" si="187"/>
        <v>0</v>
      </c>
    </row>
    <row r="2245" spans="12:16" ht="15" hidden="1" customHeight="1">
      <c r="L2245" s="43" t="str">
        <f t="shared" si="183"/>
        <v>-</v>
      </c>
      <c r="M2245" s="35">
        <f t="shared" si="184"/>
        <v>0</v>
      </c>
      <c r="N2245" s="35">
        <f t="shared" si="185"/>
        <v>0</v>
      </c>
      <c r="O2245" s="35">
        <f t="shared" si="186"/>
        <v>0</v>
      </c>
      <c r="P2245" s="35">
        <f t="shared" si="187"/>
        <v>0</v>
      </c>
    </row>
    <row r="2246" spans="12:16" ht="15" hidden="1" customHeight="1">
      <c r="L2246" s="43" t="str">
        <f t="shared" si="183"/>
        <v>-</v>
      </c>
      <c r="M2246" s="35">
        <f t="shared" si="184"/>
        <v>0</v>
      </c>
      <c r="N2246" s="35">
        <f t="shared" si="185"/>
        <v>0</v>
      </c>
      <c r="O2246" s="35">
        <f t="shared" si="186"/>
        <v>0</v>
      </c>
      <c r="P2246" s="35">
        <f t="shared" si="187"/>
        <v>0</v>
      </c>
    </row>
    <row r="2247" spans="12:16" ht="15" hidden="1" customHeight="1">
      <c r="L2247" s="43" t="str">
        <f t="shared" si="183"/>
        <v>-</v>
      </c>
      <c r="M2247" s="35">
        <f t="shared" si="184"/>
        <v>0</v>
      </c>
      <c r="N2247" s="35">
        <f t="shared" si="185"/>
        <v>0</v>
      </c>
      <c r="O2247" s="35">
        <f t="shared" si="186"/>
        <v>0</v>
      </c>
      <c r="P2247" s="35">
        <f t="shared" si="187"/>
        <v>0</v>
      </c>
    </row>
    <row r="2248" spans="12:16" ht="15" hidden="1" customHeight="1">
      <c r="L2248" s="43" t="str">
        <f t="shared" si="183"/>
        <v>-</v>
      </c>
      <c r="M2248" s="35">
        <f t="shared" si="184"/>
        <v>0</v>
      </c>
      <c r="N2248" s="35">
        <f t="shared" si="185"/>
        <v>0</v>
      </c>
      <c r="O2248" s="35">
        <f t="shared" si="186"/>
        <v>0</v>
      </c>
      <c r="P2248" s="35">
        <f t="shared" si="187"/>
        <v>0</v>
      </c>
    </row>
    <row r="2249" spans="12:16" ht="15" hidden="1" customHeight="1">
      <c r="L2249" s="43" t="str">
        <f t="shared" si="183"/>
        <v>-</v>
      </c>
      <c r="M2249" s="35">
        <f t="shared" si="184"/>
        <v>0</v>
      </c>
      <c r="N2249" s="35">
        <f t="shared" si="185"/>
        <v>0</v>
      </c>
      <c r="O2249" s="35">
        <f t="shared" si="186"/>
        <v>0</v>
      </c>
      <c r="P2249" s="35">
        <f t="shared" si="187"/>
        <v>0</v>
      </c>
    </row>
    <row r="2250" spans="12:16" ht="15" hidden="1" customHeight="1">
      <c r="L2250" s="43" t="str">
        <f t="shared" si="183"/>
        <v>-</v>
      </c>
      <c r="M2250" s="35">
        <f t="shared" si="184"/>
        <v>0</v>
      </c>
      <c r="N2250" s="35">
        <f t="shared" si="185"/>
        <v>0</v>
      </c>
      <c r="O2250" s="35">
        <f t="shared" si="186"/>
        <v>0</v>
      </c>
      <c r="P2250" s="35">
        <f t="shared" si="187"/>
        <v>0</v>
      </c>
    </row>
    <row r="2251" spans="12:16" ht="15" hidden="1" customHeight="1">
      <c r="L2251" s="43" t="str">
        <f t="shared" si="183"/>
        <v>-</v>
      </c>
      <c r="M2251" s="35">
        <f t="shared" si="184"/>
        <v>0</v>
      </c>
      <c r="N2251" s="35">
        <f t="shared" si="185"/>
        <v>0</v>
      </c>
      <c r="O2251" s="35">
        <f t="shared" si="186"/>
        <v>0</v>
      </c>
      <c r="P2251" s="35">
        <f t="shared" si="187"/>
        <v>0</v>
      </c>
    </row>
    <row r="2252" spans="12:16" ht="15" hidden="1" customHeight="1">
      <c r="L2252" s="43" t="str">
        <f t="shared" si="183"/>
        <v>-</v>
      </c>
      <c r="M2252" s="35">
        <f t="shared" si="184"/>
        <v>0</v>
      </c>
      <c r="N2252" s="35">
        <f t="shared" si="185"/>
        <v>0</v>
      </c>
      <c r="O2252" s="35">
        <f t="shared" si="186"/>
        <v>0</v>
      </c>
      <c r="P2252" s="35">
        <f t="shared" si="187"/>
        <v>0</v>
      </c>
    </row>
    <row r="2253" spans="12:16" ht="15" hidden="1" customHeight="1">
      <c r="L2253" s="43" t="str">
        <f t="shared" si="183"/>
        <v>-</v>
      </c>
      <c r="M2253" s="35">
        <f t="shared" si="184"/>
        <v>0</v>
      </c>
      <c r="N2253" s="35">
        <f t="shared" si="185"/>
        <v>0</v>
      </c>
      <c r="O2253" s="35">
        <f t="shared" si="186"/>
        <v>0</v>
      </c>
      <c r="P2253" s="35">
        <f t="shared" si="187"/>
        <v>0</v>
      </c>
    </row>
    <row r="2254" spans="12:16" ht="15" hidden="1" customHeight="1">
      <c r="L2254" s="43" t="str">
        <f t="shared" si="183"/>
        <v>-</v>
      </c>
      <c r="M2254" s="35">
        <f t="shared" si="184"/>
        <v>0</v>
      </c>
      <c r="N2254" s="35">
        <f t="shared" si="185"/>
        <v>0</v>
      </c>
      <c r="O2254" s="35">
        <f t="shared" si="186"/>
        <v>0</v>
      </c>
      <c r="P2254" s="35">
        <f t="shared" si="187"/>
        <v>0</v>
      </c>
    </row>
    <row r="2255" spans="12:16" ht="15" hidden="1" customHeight="1">
      <c r="L2255" s="43" t="str">
        <f t="shared" si="183"/>
        <v>-</v>
      </c>
      <c r="M2255" s="35">
        <f t="shared" si="184"/>
        <v>0</v>
      </c>
      <c r="N2255" s="35">
        <f t="shared" si="185"/>
        <v>0</v>
      </c>
      <c r="O2255" s="35">
        <f t="shared" si="186"/>
        <v>0</v>
      </c>
      <c r="P2255" s="35">
        <f t="shared" si="187"/>
        <v>0</v>
      </c>
    </row>
    <row r="2256" spans="12:16" ht="15" hidden="1" customHeight="1">
      <c r="L2256" s="43" t="str">
        <f t="shared" si="183"/>
        <v>-</v>
      </c>
      <c r="M2256" s="35">
        <f t="shared" si="184"/>
        <v>0</v>
      </c>
      <c r="N2256" s="35">
        <f t="shared" si="185"/>
        <v>0</v>
      </c>
      <c r="O2256" s="35">
        <f t="shared" si="186"/>
        <v>0</v>
      </c>
      <c r="P2256" s="35">
        <f t="shared" si="187"/>
        <v>0</v>
      </c>
    </row>
    <row r="2257" spans="12:16" ht="15" hidden="1" customHeight="1">
      <c r="L2257" s="43" t="str">
        <f t="shared" si="183"/>
        <v>-</v>
      </c>
      <c r="M2257" s="35">
        <f t="shared" si="184"/>
        <v>0</v>
      </c>
      <c r="N2257" s="35">
        <f t="shared" si="185"/>
        <v>0</v>
      </c>
      <c r="O2257" s="35">
        <f t="shared" si="186"/>
        <v>0</v>
      </c>
      <c r="P2257" s="35">
        <f t="shared" si="187"/>
        <v>0</v>
      </c>
    </row>
    <row r="2258" spans="12:16" ht="15" hidden="1" customHeight="1">
      <c r="L2258" s="43" t="str">
        <f t="shared" si="183"/>
        <v>-</v>
      </c>
      <c r="M2258" s="35">
        <f t="shared" si="184"/>
        <v>0</v>
      </c>
      <c r="N2258" s="35">
        <f t="shared" si="185"/>
        <v>0</v>
      </c>
      <c r="O2258" s="35">
        <f t="shared" si="186"/>
        <v>0</v>
      </c>
      <c r="P2258" s="35">
        <f t="shared" si="187"/>
        <v>0</v>
      </c>
    </row>
    <row r="2259" spans="12:16" ht="15" hidden="1" customHeight="1">
      <c r="L2259" s="43" t="str">
        <f t="shared" si="183"/>
        <v>-</v>
      </c>
      <c r="M2259" s="35">
        <f t="shared" si="184"/>
        <v>0</v>
      </c>
      <c r="N2259" s="35">
        <f t="shared" si="185"/>
        <v>0</v>
      </c>
      <c r="O2259" s="35">
        <f t="shared" si="186"/>
        <v>0</v>
      </c>
      <c r="P2259" s="35">
        <f t="shared" si="187"/>
        <v>0</v>
      </c>
    </row>
    <row r="2260" spans="12:16" ht="15" hidden="1" customHeight="1">
      <c r="L2260" s="43" t="str">
        <f t="shared" si="183"/>
        <v>-</v>
      </c>
      <c r="M2260" s="35">
        <f t="shared" si="184"/>
        <v>0</v>
      </c>
      <c r="N2260" s="35">
        <f t="shared" si="185"/>
        <v>0</v>
      </c>
      <c r="O2260" s="35">
        <f t="shared" si="186"/>
        <v>0</v>
      </c>
      <c r="P2260" s="35">
        <f t="shared" si="187"/>
        <v>0</v>
      </c>
    </row>
    <row r="2261" spans="12:16" ht="15" hidden="1" customHeight="1">
      <c r="L2261" s="43" t="str">
        <f t="shared" si="183"/>
        <v>-</v>
      </c>
      <c r="M2261" s="35">
        <f t="shared" si="184"/>
        <v>0</v>
      </c>
      <c r="N2261" s="35">
        <f t="shared" si="185"/>
        <v>0</v>
      </c>
      <c r="O2261" s="35">
        <f t="shared" si="186"/>
        <v>0</v>
      </c>
      <c r="P2261" s="35">
        <f t="shared" si="187"/>
        <v>0</v>
      </c>
    </row>
    <row r="2262" spans="12:16" ht="15" hidden="1" customHeight="1">
      <c r="L2262" s="43" t="str">
        <f t="shared" si="183"/>
        <v>-</v>
      </c>
      <c r="M2262" s="35">
        <f t="shared" si="184"/>
        <v>0</v>
      </c>
      <c r="N2262" s="35">
        <f t="shared" si="185"/>
        <v>0</v>
      </c>
      <c r="O2262" s="35">
        <f t="shared" si="186"/>
        <v>0</v>
      </c>
      <c r="P2262" s="35">
        <f t="shared" si="187"/>
        <v>0</v>
      </c>
    </row>
    <row r="2263" spans="12:16" ht="15" hidden="1" customHeight="1">
      <c r="L2263" s="43" t="str">
        <f t="shared" si="183"/>
        <v>-</v>
      </c>
      <c r="M2263" s="35">
        <f t="shared" si="184"/>
        <v>0</v>
      </c>
      <c r="N2263" s="35">
        <f t="shared" si="185"/>
        <v>0</v>
      </c>
      <c r="O2263" s="35">
        <f t="shared" si="186"/>
        <v>0</v>
      </c>
      <c r="P2263" s="35">
        <f t="shared" si="187"/>
        <v>0</v>
      </c>
    </row>
    <row r="2264" spans="12:16" ht="15" hidden="1" customHeight="1">
      <c r="L2264" s="43" t="str">
        <f t="shared" si="183"/>
        <v>-</v>
      </c>
      <c r="M2264" s="35">
        <f t="shared" si="184"/>
        <v>0</v>
      </c>
      <c r="N2264" s="35">
        <f t="shared" si="185"/>
        <v>0</v>
      </c>
      <c r="O2264" s="35">
        <f t="shared" si="186"/>
        <v>0</v>
      </c>
      <c r="P2264" s="35">
        <f t="shared" si="187"/>
        <v>0</v>
      </c>
    </row>
    <row r="2265" spans="12:16" ht="15" hidden="1" customHeight="1">
      <c r="L2265" s="43" t="str">
        <f t="shared" si="183"/>
        <v>-</v>
      </c>
      <c r="M2265" s="35">
        <f t="shared" si="184"/>
        <v>0</v>
      </c>
      <c r="N2265" s="35">
        <f t="shared" si="185"/>
        <v>0</v>
      </c>
      <c r="O2265" s="35">
        <f t="shared" si="186"/>
        <v>0</v>
      </c>
      <c r="P2265" s="35">
        <f t="shared" si="187"/>
        <v>0</v>
      </c>
    </row>
    <row r="2266" spans="12:16" ht="15" hidden="1" customHeight="1">
      <c r="L2266" s="43" t="str">
        <f t="shared" si="183"/>
        <v>-</v>
      </c>
      <c r="M2266" s="35">
        <f t="shared" si="184"/>
        <v>0</v>
      </c>
      <c r="N2266" s="35">
        <f t="shared" si="185"/>
        <v>0</v>
      </c>
      <c r="O2266" s="35">
        <f t="shared" si="186"/>
        <v>0</v>
      </c>
      <c r="P2266" s="35">
        <f t="shared" si="187"/>
        <v>0</v>
      </c>
    </row>
    <row r="2267" spans="12:16" ht="15" hidden="1" customHeight="1">
      <c r="L2267" s="43" t="str">
        <f t="shared" si="183"/>
        <v>-</v>
      </c>
      <c r="M2267" s="35">
        <f t="shared" si="184"/>
        <v>0</v>
      </c>
      <c r="N2267" s="35">
        <f t="shared" si="185"/>
        <v>0</v>
      </c>
      <c r="O2267" s="35">
        <f t="shared" si="186"/>
        <v>0</v>
      </c>
      <c r="P2267" s="35">
        <f t="shared" si="187"/>
        <v>0</v>
      </c>
    </row>
    <row r="2268" spans="12:16" ht="15" hidden="1" customHeight="1">
      <c r="L2268" s="43" t="str">
        <f t="shared" si="183"/>
        <v>-</v>
      </c>
      <c r="M2268" s="35">
        <f t="shared" si="184"/>
        <v>0</v>
      </c>
      <c r="N2268" s="35">
        <f t="shared" si="185"/>
        <v>0</v>
      </c>
      <c r="O2268" s="35">
        <f t="shared" si="186"/>
        <v>0</v>
      </c>
      <c r="P2268" s="35">
        <f t="shared" si="187"/>
        <v>0</v>
      </c>
    </row>
    <row r="2269" spans="12:16" ht="15" hidden="1" customHeight="1">
      <c r="L2269" s="43" t="str">
        <f t="shared" si="183"/>
        <v>-</v>
      </c>
      <c r="M2269" s="35">
        <f t="shared" si="184"/>
        <v>0</v>
      </c>
      <c r="N2269" s="35">
        <f t="shared" si="185"/>
        <v>0</v>
      </c>
      <c r="O2269" s="35">
        <f t="shared" si="186"/>
        <v>0</v>
      </c>
      <c r="P2269" s="35">
        <f t="shared" si="187"/>
        <v>0</v>
      </c>
    </row>
    <row r="2270" spans="12:16" ht="15" hidden="1" customHeight="1">
      <c r="L2270" s="43" t="str">
        <f t="shared" si="183"/>
        <v>-</v>
      </c>
      <c r="M2270" s="35">
        <f t="shared" si="184"/>
        <v>0</v>
      </c>
      <c r="N2270" s="35">
        <f t="shared" si="185"/>
        <v>0</v>
      </c>
      <c r="O2270" s="35">
        <f t="shared" si="186"/>
        <v>0</v>
      </c>
      <c r="P2270" s="35">
        <f t="shared" si="187"/>
        <v>0</v>
      </c>
    </row>
    <row r="2271" spans="12:16" ht="15" hidden="1" customHeight="1">
      <c r="L2271" s="43" t="str">
        <f t="shared" ref="L2271:L2334" si="188">IFERROR(IF(MAX(L2270+1,Дата_получения_Займа+1)&gt;Дата_погашения_Займа,"-",MAX(L2270+1,Дата_получения_Займа+1)),"-")</f>
        <v>-</v>
      </c>
      <c r="M2271" s="35">
        <f t="shared" ref="M2271:M2334" si="189">IFERROR(VLOOKUP(L2271,$B$31:$E$59,4,FALSE),0)</f>
        <v>0</v>
      </c>
      <c r="N2271" s="35">
        <f t="shared" ref="N2271:N2334" si="190">IF(ISNUMBER(N2270),N2270-M2271,$E$20)</f>
        <v>0</v>
      </c>
      <c r="O2271" s="35">
        <f t="shared" ref="O2271:O2334" si="191">IFERROR(IF(ISNUMBER(N2270),N2270,$E$20)*IF(L2271&gt;=$J$20,$E$25,$E$24)/IF(MOD(YEAR(L2271),4),365,366)*IF(ISBLANK(L2270),L2271-$E$22,L2271-L2270),0)</f>
        <v>0</v>
      </c>
      <c r="P2271" s="35">
        <f t="shared" ref="P2271:P2334" si="192">IFERROR(IF(ISNUMBER(N2270),N2270,$E$20)*3%/IF(MOD(YEAR(L2271),4),365,366)*IF(ISBLANK(L2270),(L2271-$E$22),L2271-L2270),0)</f>
        <v>0</v>
      </c>
    </row>
    <row r="2272" spans="12:16" ht="15" hidden="1" customHeight="1">
      <c r="L2272" s="43" t="str">
        <f t="shared" si="188"/>
        <v>-</v>
      </c>
      <c r="M2272" s="35">
        <f t="shared" si="189"/>
        <v>0</v>
      </c>
      <c r="N2272" s="35">
        <f t="shared" si="190"/>
        <v>0</v>
      </c>
      <c r="O2272" s="35">
        <f t="shared" si="191"/>
        <v>0</v>
      </c>
      <c r="P2272" s="35">
        <f t="shared" si="192"/>
        <v>0</v>
      </c>
    </row>
    <row r="2273" spans="12:16" ht="15" hidden="1" customHeight="1">
      <c r="L2273" s="43" t="str">
        <f t="shared" si="188"/>
        <v>-</v>
      </c>
      <c r="M2273" s="35">
        <f t="shared" si="189"/>
        <v>0</v>
      </c>
      <c r="N2273" s="35">
        <f t="shared" si="190"/>
        <v>0</v>
      </c>
      <c r="O2273" s="35">
        <f t="shared" si="191"/>
        <v>0</v>
      </c>
      <c r="P2273" s="35">
        <f t="shared" si="192"/>
        <v>0</v>
      </c>
    </row>
    <row r="2274" spans="12:16" ht="15" hidden="1" customHeight="1">
      <c r="L2274" s="43" t="str">
        <f t="shared" si="188"/>
        <v>-</v>
      </c>
      <c r="M2274" s="35">
        <f t="shared" si="189"/>
        <v>0</v>
      </c>
      <c r="N2274" s="35">
        <f t="shared" si="190"/>
        <v>0</v>
      </c>
      <c r="O2274" s="35">
        <f t="shared" si="191"/>
        <v>0</v>
      </c>
      <c r="P2274" s="35">
        <f t="shared" si="192"/>
        <v>0</v>
      </c>
    </row>
    <row r="2275" spans="12:16" ht="15" hidden="1" customHeight="1">
      <c r="L2275" s="43" t="str">
        <f t="shared" si="188"/>
        <v>-</v>
      </c>
      <c r="M2275" s="35">
        <f t="shared" si="189"/>
        <v>0</v>
      </c>
      <c r="N2275" s="35">
        <f t="shared" si="190"/>
        <v>0</v>
      </c>
      <c r="O2275" s="35">
        <f t="shared" si="191"/>
        <v>0</v>
      </c>
      <c r="P2275" s="35">
        <f t="shared" si="192"/>
        <v>0</v>
      </c>
    </row>
    <row r="2276" spans="12:16" ht="15" hidden="1" customHeight="1">
      <c r="L2276" s="43" t="str">
        <f t="shared" si="188"/>
        <v>-</v>
      </c>
      <c r="M2276" s="35">
        <f t="shared" si="189"/>
        <v>0</v>
      </c>
      <c r="N2276" s="35">
        <f t="shared" si="190"/>
        <v>0</v>
      </c>
      <c r="O2276" s="35">
        <f t="shared" si="191"/>
        <v>0</v>
      </c>
      <c r="P2276" s="35">
        <f t="shared" si="192"/>
        <v>0</v>
      </c>
    </row>
    <row r="2277" spans="12:16" ht="15" hidden="1" customHeight="1">
      <c r="L2277" s="43" t="str">
        <f t="shared" si="188"/>
        <v>-</v>
      </c>
      <c r="M2277" s="35">
        <f t="shared" si="189"/>
        <v>0</v>
      </c>
      <c r="N2277" s="35">
        <f t="shared" si="190"/>
        <v>0</v>
      </c>
      <c r="O2277" s="35">
        <f t="shared" si="191"/>
        <v>0</v>
      </c>
      <c r="P2277" s="35">
        <f t="shared" si="192"/>
        <v>0</v>
      </c>
    </row>
    <row r="2278" spans="12:16" ht="15" hidden="1" customHeight="1">
      <c r="L2278" s="43" t="str">
        <f t="shared" si="188"/>
        <v>-</v>
      </c>
      <c r="M2278" s="35">
        <f t="shared" si="189"/>
        <v>0</v>
      </c>
      <c r="N2278" s="35">
        <f t="shared" si="190"/>
        <v>0</v>
      </c>
      <c r="O2278" s="35">
        <f t="shared" si="191"/>
        <v>0</v>
      </c>
      <c r="P2278" s="35">
        <f t="shared" si="192"/>
        <v>0</v>
      </c>
    </row>
    <row r="2279" spans="12:16" ht="15" hidden="1" customHeight="1">
      <c r="L2279" s="43" t="str">
        <f t="shared" si="188"/>
        <v>-</v>
      </c>
      <c r="M2279" s="35">
        <f t="shared" si="189"/>
        <v>0</v>
      </c>
      <c r="N2279" s="35">
        <f t="shared" si="190"/>
        <v>0</v>
      </c>
      <c r="O2279" s="35">
        <f t="shared" si="191"/>
        <v>0</v>
      </c>
      <c r="P2279" s="35">
        <f t="shared" si="192"/>
        <v>0</v>
      </c>
    </row>
    <row r="2280" spans="12:16" ht="15" hidden="1" customHeight="1">
      <c r="L2280" s="43" t="str">
        <f t="shared" si="188"/>
        <v>-</v>
      </c>
      <c r="M2280" s="35">
        <f t="shared" si="189"/>
        <v>0</v>
      </c>
      <c r="N2280" s="35">
        <f t="shared" si="190"/>
        <v>0</v>
      </c>
      <c r="O2280" s="35">
        <f t="shared" si="191"/>
        <v>0</v>
      </c>
      <c r="P2280" s="35">
        <f t="shared" si="192"/>
        <v>0</v>
      </c>
    </row>
    <row r="2281" spans="12:16" ht="15" hidden="1" customHeight="1">
      <c r="L2281" s="43" t="str">
        <f t="shared" si="188"/>
        <v>-</v>
      </c>
      <c r="M2281" s="35">
        <f t="shared" si="189"/>
        <v>0</v>
      </c>
      <c r="N2281" s="35">
        <f t="shared" si="190"/>
        <v>0</v>
      </c>
      <c r="O2281" s="35">
        <f t="shared" si="191"/>
        <v>0</v>
      </c>
      <c r="P2281" s="35">
        <f t="shared" si="192"/>
        <v>0</v>
      </c>
    </row>
    <row r="2282" spans="12:16" ht="15" hidden="1" customHeight="1">
      <c r="L2282" s="43" t="str">
        <f t="shared" si="188"/>
        <v>-</v>
      </c>
      <c r="M2282" s="35">
        <f t="shared" si="189"/>
        <v>0</v>
      </c>
      <c r="N2282" s="35">
        <f t="shared" si="190"/>
        <v>0</v>
      </c>
      <c r="O2282" s="35">
        <f t="shared" si="191"/>
        <v>0</v>
      </c>
      <c r="P2282" s="35">
        <f t="shared" si="192"/>
        <v>0</v>
      </c>
    </row>
    <row r="2283" spans="12:16" ht="15" hidden="1" customHeight="1">
      <c r="L2283" s="43" t="str">
        <f t="shared" si="188"/>
        <v>-</v>
      </c>
      <c r="M2283" s="35">
        <f t="shared" si="189"/>
        <v>0</v>
      </c>
      <c r="N2283" s="35">
        <f t="shared" si="190"/>
        <v>0</v>
      </c>
      <c r="O2283" s="35">
        <f t="shared" si="191"/>
        <v>0</v>
      </c>
      <c r="P2283" s="35">
        <f t="shared" si="192"/>
        <v>0</v>
      </c>
    </row>
    <row r="2284" spans="12:16" ht="15" hidden="1" customHeight="1">
      <c r="L2284" s="43" t="str">
        <f t="shared" si="188"/>
        <v>-</v>
      </c>
      <c r="M2284" s="35">
        <f t="shared" si="189"/>
        <v>0</v>
      </c>
      <c r="N2284" s="35">
        <f t="shared" si="190"/>
        <v>0</v>
      </c>
      <c r="O2284" s="35">
        <f t="shared" si="191"/>
        <v>0</v>
      </c>
      <c r="P2284" s="35">
        <f t="shared" si="192"/>
        <v>0</v>
      </c>
    </row>
    <row r="2285" spans="12:16" ht="15" hidden="1" customHeight="1">
      <c r="L2285" s="43" t="str">
        <f t="shared" si="188"/>
        <v>-</v>
      </c>
      <c r="M2285" s="35">
        <f t="shared" si="189"/>
        <v>0</v>
      </c>
      <c r="N2285" s="35">
        <f t="shared" si="190"/>
        <v>0</v>
      </c>
      <c r="O2285" s="35">
        <f t="shared" si="191"/>
        <v>0</v>
      </c>
      <c r="P2285" s="35">
        <f t="shared" si="192"/>
        <v>0</v>
      </c>
    </row>
    <row r="2286" spans="12:16" ht="15" hidden="1" customHeight="1">
      <c r="L2286" s="43" t="str">
        <f t="shared" si="188"/>
        <v>-</v>
      </c>
      <c r="M2286" s="35">
        <f t="shared" si="189"/>
        <v>0</v>
      </c>
      <c r="N2286" s="35">
        <f t="shared" si="190"/>
        <v>0</v>
      </c>
      <c r="O2286" s="35">
        <f t="shared" si="191"/>
        <v>0</v>
      </c>
      <c r="P2286" s="35">
        <f t="shared" si="192"/>
        <v>0</v>
      </c>
    </row>
    <row r="2287" spans="12:16" ht="15" hidden="1" customHeight="1">
      <c r="L2287" s="43" t="str">
        <f t="shared" si="188"/>
        <v>-</v>
      </c>
      <c r="M2287" s="35">
        <f t="shared" si="189"/>
        <v>0</v>
      </c>
      <c r="N2287" s="35">
        <f t="shared" si="190"/>
        <v>0</v>
      </c>
      <c r="O2287" s="35">
        <f t="shared" si="191"/>
        <v>0</v>
      </c>
      <c r="P2287" s="35">
        <f t="shared" si="192"/>
        <v>0</v>
      </c>
    </row>
    <row r="2288" spans="12:16" ht="15" hidden="1" customHeight="1">
      <c r="L2288" s="43" t="str">
        <f t="shared" si="188"/>
        <v>-</v>
      </c>
      <c r="M2288" s="35">
        <f t="shared" si="189"/>
        <v>0</v>
      </c>
      <c r="N2288" s="35">
        <f t="shared" si="190"/>
        <v>0</v>
      </c>
      <c r="O2288" s="35">
        <f t="shared" si="191"/>
        <v>0</v>
      </c>
      <c r="P2288" s="35">
        <f t="shared" si="192"/>
        <v>0</v>
      </c>
    </row>
    <row r="2289" spans="12:16" ht="15" hidden="1" customHeight="1">
      <c r="L2289" s="43" t="str">
        <f t="shared" si="188"/>
        <v>-</v>
      </c>
      <c r="M2289" s="35">
        <f t="shared" si="189"/>
        <v>0</v>
      </c>
      <c r="N2289" s="35">
        <f t="shared" si="190"/>
        <v>0</v>
      </c>
      <c r="O2289" s="35">
        <f t="shared" si="191"/>
        <v>0</v>
      </c>
      <c r="P2289" s="35">
        <f t="shared" si="192"/>
        <v>0</v>
      </c>
    </row>
    <row r="2290" spans="12:16" ht="15" hidden="1" customHeight="1">
      <c r="L2290" s="43" t="str">
        <f t="shared" si="188"/>
        <v>-</v>
      </c>
      <c r="M2290" s="35">
        <f t="shared" si="189"/>
        <v>0</v>
      </c>
      <c r="N2290" s="35">
        <f t="shared" si="190"/>
        <v>0</v>
      </c>
      <c r="O2290" s="35">
        <f t="shared" si="191"/>
        <v>0</v>
      </c>
      <c r="P2290" s="35">
        <f t="shared" si="192"/>
        <v>0</v>
      </c>
    </row>
    <row r="2291" spans="12:16" ht="15" hidden="1" customHeight="1">
      <c r="L2291" s="43" t="str">
        <f t="shared" si="188"/>
        <v>-</v>
      </c>
      <c r="M2291" s="35">
        <f t="shared" si="189"/>
        <v>0</v>
      </c>
      <c r="N2291" s="35">
        <f t="shared" si="190"/>
        <v>0</v>
      </c>
      <c r="O2291" s="35">
        <f t="shared" si="191"/>
        <v>0</v>
      </c>
      <c r="P2291" s="35">
        <f t="shared" si="192"/>
        <v>0</v>
      </c>
    </row>
    <row r="2292" spans="12:16" ht="15" hidden="1" customHeight="1">
      <c r="L2292" s="43" t="str">
        <f t="shared" si="188"/>
        <v>-</v>
      </c>
      <c r="M2292" s="35">
        <f t="shared" si="189"/>
        <v>0</v>
      </c>
      <c r="N2292" s="35">
        <f t="shared" si="190"/>
        <v>0</v>
      </c>
      <c r="O2292" s="35">
        <f t="shared" si="191"/>
        <v>0</v>
      </c>
      <c r="P2292" s="35">
        <f t="shared" si="192"/>
        <v>0</v>
      </c>
    </row>
    <row r="2293" spans="12:16" ht="15" hidden="1" customHeight="1">
      <c r="L2293" s="43" t="str">
        <f t="shared" si="188"/>
        <v>-</v>
      </c>
      <c r="M2293" s="35">
        <f t="shared" si="189"/>
        <v>0</v>
      </c>
      <c r="N2293" s="35">
        <f t="shared" si="190"/>
        <v>0</v>
      </c>
      <c r="O2293" s="35">
        <f t="shared" si="191"/>
        <v>0</v>
      </c>
      <c r="P2293" s="35">
        <f t="shared" si="192"/>
        <v>0</v>
      </c>
    </row>
    <row r="2294" spans="12:16" ht="15" hidden="1" customHeight="1">
      <c r="L2294" s="43" t="str">
        <f t="shared" si="188"/>
        <v>-</v>
      </c>
      <c r="M2294" s="35">
        <f t="shared" si="189"/>
        <v>0</v>
      </c>
      <c r="N2294" s="35">
        <f t="shared" si="190"/>
        <v>0</v>
      </c>
      <c r="O2294" s="35">
        <f t="shared" si="191"/>
        <v>0</v>
      </c>
      <c r="P2294" s="35">
        <f t="shared" si="192"/>
        <v>0</v>
      </c>
    </row>
    <row r="2295" spans="12:16" ht="15" hidden="1" customHeight="1">
      <c r="L2295" s="43" t="str">
        <f t="shared" si="188"/>
        <v>-</v>
      </c>
      <c r="M2295" s="35">
        <f t="shared" si="189"/>
        <v>0</v>
      </c>
      <c r="N2295" s="35">
        <f t="shared" si="190"/>
        <v>0</v>
      </c>
      <c r="O2295" s="35">
        <f t="shared" si="191"/>
        <v>0</v>
      </c>
      <c r="P2295" s="35">
        <f t="shared" si="192"/>
        <v>0</v>
      </c>
    </row>
    <row r="2296" spans="12:16" ht="15" hidden="1" customHeight="1">
      <c r="L2296" s="43" t="str">
        <f t="shared" si="188"/>
        <v>-</v>
      </c>
      <c r="M2296" s="35">
        <f t="shared" si="189"/>
        <v>0</v>
      </c>
      <c r="N2296" s="35">
        <f t="shared" si="190"/>
        <v>0</v>
      </c>
      <c r="O2296" s="35">
        <f t="shared" si="191"/>
        <v>0</v>
      </c>
      <c r="P2296" s="35">
        <f t="shared" si="192"/>
        <v>0</v>
      </c>
    </row>
    <row r="2297" spans="12:16" ht="15" hidden="1" customHeight="1">
      <c r="L2297" s="43" t="str">
        <f t="shared" si="188"/>
        <v>-</v>
      </c>
      <c r="M2297" s="35">
        <f t="shared" si="189"/>
        <v>0</v>
      </c>
      <c r="N2297" s="35">
        <f t="shared" si="190"/>
        <v>0</v>
      </c>
      <c r="O2297" s="35">
        <f t="shared" si="191"/>
        <v>0</v>
      </c>
      <c r="P2297" s="35">
        <f t="shared" si="192"/>
        <v>0</v>
      </c>
    </row>
    <row r="2298" spans="12:16" ht="15" hidden="1" customHeight="1">
      <c r="L2298" s="43" t="str">
        <f t="shared" si="188"/>
        <v>-</v>
      </c>
      <c r="M2298" s="35">
        <f t="shared" si="189"/>
        <v>0</v>
      </c>
      <c r="N2298" s="35">
        <f t="shared" si="190"/>
        <v>0</v>
      </c>
      <c r="O2298" s="35">
        <f t="shared" si="191"/>
        <v>0</v>
      </c>
      <c r="P2298" s="35">
        <f t="shared" si="192"/>
        <v>0</v>
      </c>
    </row>
    <row r="2299" spans="12:16" ht="15" hidden="1" customHeight="1">
      <c r="L2299" s="43" t="str">
        <f t="shared" si="188"/>
        <v>-</v>
      </c>
      <c r="M2299" s="35">
        <f t="shared" si="189"/>
        <v>0</v>
      </c>
      <c r="N2299" s="35">
        <f t="shared" si="190"/>
        <v>0</v>
      </c>
      <c r="O2299" s="35">
        <f t="shared" si="191"/>
        <v>0</v>
      </c>
      <c r="P2299" s="35">
        <f t="shared" si="192"/>
        <v>0</v>
      </c>
    </row>
    <row r="2300" spans="12:16" ht="15" hidden="1" customHeight="1">
      <c r="L2300" s="43" t="str">
        <f t="shared" si="188"/>
        <v>-</v>
      </c>
      <c r="M2300" s="35">
        <f t="shared" si="189"/>
        <v>0</v>
      </c>
      <c r="N2300" s="35">
        <f t="shared" si="190"/>
        <v>0</v>
      </c>
      <c r="O2300" s="35">
        <f t="shared" si="191"/>
        <v>0</v>
      </c>
      <c r="P2300" s="35">
        <f t="shared" si="192"/>
        <v>0</v>
      </c>
    </row>
    <row r="2301" spans="12:16" ht="15" hidden="1" customHeight="1">
      <c r="L2301" s="43" t="str">
        <f t="shared" si="188"/>
        <v>-</v>
      </c>
      <c r="M2301" s="35">
        <f t="shared" si="189"/>
        <v>0</v>
      </c>
      <c r="N2301" s="35">
        <f t="shared" si="190"/>
        <v>0</v>
      </c>
      <c r="O2301" s="35">
        <f t="shared" si="191"/>
        <v>0</v>
      </c>
      <c r="P2301" s="35">
        <f t="shared" si="192"/>
        <v>0</v>
      </c>
    </row>
    <row r="2302" spans="12:16" ht="15" hidden="1" customHeight="1">
      <c r="L2302" s="43" t="str">
        <f t="shared" si="188"/>
        <v>-</v>
      </c>
      <c r="M2302" s="35">
        <f t="shared" si="189"/>
        <v>0</v>
      </c>
      <c r="N2302" s="35">
        <f t="shared" si="190"/>
        <v>0</v>
      </c>
      <c r="O2302" s="35">
        <f t="shared" si="191"/>
        <v>0</v>
      </c>
      <c r="P2302" s="35">
        <f t="shared" si="192"/>
        <v>0</v>
      </c>
    </row>
    <row r="2303" spans="12:16" ht="15" hidden="1" customHeight="1">
      <c r="L2303" s="43" t="str">
        <f t="shared" si="188"/>
        <v>-</v>
      </c>
      <c r="M2303" s="35">
        <f t="shared" si="189"/>
        <v>0</v>
      </c>
      <c r="N2303" s="35">
        <f t="shared" si="190"/>
        <v>0</v>
      </c>
      <c r="O2303" s="35">
        <f t="shared" si="191"/>
        <v>0</v>
      </c>
      <c r="P2303" s="35">
        <f t="shared" si="192"/>
        <v>0</v>
      </c>
    </row>
    <row r="2304" spans="12:16" ht="15" hidden="1" customHeight="1">
      <c r="L2304" s="43" t="str">
        <f t="shared" si="188"/>
        <v>-</v>
      </c>
      <c r="M2304" s="35">
        <f t="shared" si="189"/>
        <v>0</v>
      </c>
      <c r="N2304" s="35">
        <f t="shared" si="190"/>
        <v>0</v>
      </c>
      <c r="O2304" s="35">
        <f t="shared" si="191"/>
        <v>0</v>
      </c>
      <c r="P2304" s="35">
        <f t="shared" si="192"/>
        <v>0</v>
      </c>
    </row>
    <row r="2305" spans="12:16" ht="15" hidden="1" customHeight="1">
      <c r="L2305" s="43" t="str">
        <f t="shared" si="188"/>
        <v>-</v>
      </c>
      <c r="M2305" s="35">
        <f t="shared" si="189"/>
        <v>0</v>
      </c>
      <c r="N2305" s="35">
        <f t="shared" si="190"/>
        <v>0</v>
      </c>
      <c r="O2305" s="35">
        <f t="shared" si="191"/>
        <v>0</v>
      </c>
      <c r="P2305" s="35">
        <f t="shared" si="192"/>
        <v>0</v>
      </c>
    </row>
    <row r="2306" spans="12:16" ht="15" hidden="1" customHeight="1">
      <c r="L2306" s="43" t="str">
        <f t="shared" si="188"/>
        <v>-</v>
      </c>
      <c r="M2306" s="35">
        <f t="shared" si="189"/>
        <v>0</v>
      </c>
      <c r="N2306" s="35">
        <f t="shared" si="190"/>
        <v>0</v>
      </c>
      <c r="O2306" s="35">
        <f t="shared" si="191"/>
        <v>0</v>
      </c>
      <c r="P2306" s="35">
        <f t="shared" si="192"/>
        <v>0</v>
      </c>
    </row>
    <row r="2307" spans="12:16" ht="15" hidden="1" customHeight="1">
      <c r="L2307" s="43" t="str">
        <f t="shared" si="188"/>
        <v>-</v>
      </c>
      <c r="M2307" s="35">
        <f t="shared" si="189"/>
        <v>0</v>
      </c>
      <c r="N2307" s="35">
        <f t="shared" si="190"/>
        <v>0</v>
      </c>
      <c r="O2307" s="35">
        <f t="shared" si="191"/>
        <v>0</v>
      </c>
      <c r="P2307" s="35">
        <f t="shared" si="192"/>
        <v>0</v>
      </c>
    </row>
    <row r="2308" spans="12:16" ht="15" hidden="1" customHeight="1">
      <c r="L2308" s="43" t="str">
        <f t="shared" si="188"/>
        <v>-</v>
      </c>
      <c r="M2308" s="35">
        <f t="shared" si="189"/>
        <v>0</v>
      </c>
      <c r="N2308" s="35">
        <f t="shared" si="190"/>
        <v>0</v>
      </c>
      <c r="O2308" s="35">
        <f t="shared" si="191"/>
        <v>0</v>
      </c>
      <c r="P2308" s="35">
        <f t="shared" si="192"/>
        <v>0</v>
      </c>
    </row>
    <row r="2309" spans="12:16" ht="15" hidden="1" customHeight="1">
      <c r="L2309" s="43" t="str">
        <f t="shared" si="188"/>
        <v>-</v>
      </c>
      <c r="M2309" s="35">
        <f t="shared" si="189"/>
        <v>0</v>
      </c>
      <c r="N2309" s="35">
        <f t="shared" si="190"/>
        <v>0</v>
      </c>
      <c r="O2309" s="35">
        <f t="shared" si="191"/>
        <v>0</v>
      </c>
      <c r="P2309" s="35">
        <f t="shared" si="192"/>
        <v>0</v>
      </c>
    </row>
    <row r="2310" spans="12:16" ht="15" hidden="1" customHeight="1">
      <c r="L2310" s="43" t="str">
        <f t="shared" si="188"/>
        <v>-</v>
      </c>
      <c r="M2310" s="35">
        <f t="shared" si="189"/>
        <v>0</v>
      </c>
      <c r="N2310" s="35">
        <f t="shared" si="190"/>
        <v>0</v>
      </c>
      <c r="O2310" s="35">
        <f t="shared" si="191"/>
        <v>0</v>
      </c>
      <c r="P2310" s="35">
        <f t="shared" si="192"/>
        <v>0</v>
      </c>
    </row>
    <row r="2311" spans="12:16" ht="15" hidden="1" customHeight="1">
      <c r="L2311" s="43" t="str">
        <f t="shared" si="188"/>
        <v>-</v>
      </c>
      <c r="M2311" s="35">
        <f t="shared" si="189"/>
        <v>0</v>
      </c>
      <c r="N2311" s="35">
        <f t="shared" si="190"/>
        <v>0</v>
      </c>
      <c r="O2311" s="35">
        <f t="shared" si="191"/>
        <v>0</v>
      </c>
      <c r="P2311" s="35">
        <f t="shared" si="192"/>
        <v>0</v>
      </c>
    </row>
    <row r="2312" spans="12:16" ht="15" hidden="1" customHeight="1">
      <c r="L2312" s="43" t="str">
        <f t="shared" si="188"/>
        <v>-</v>
      </c>
      <c r="M2312" s="35">
        <f t="shared" si="189"/>
        <v>0</v>
      </c>
      <c r="N2312" s="35">
        <f t="shared" si="190"/>
        <v>0</v>
      </c>
      <c r="O2312" s="35">
        <f t="shared" si="191"/>
        <v>0</v>
      </c>
      <c r="P2312" s="35">
        <f t="shared" si="192"/>
        <v>0</v>
      </c>
    </row>
    <row r="2313" spans="12:16" ht="15" hidden="1" customHeight="1">
      <c r="L2313" s="43" t="str">
        <f t="shared" si="188"/>
        <v>-</v>
      </c>
      <c r="M2313" s="35">
        <f t="shared" si="189"/>
        <v>0</v>
      </c>
      <c r="N2313" s="35">
        <f t="shared" si="190"/>
        <v>0</v>
      </c>
      <c r="O2313" s="35">
        <f t="shared" si="191"/>
        <v>0</v>
      </c>
      <c r="P2313" s="35">
        <f t="shared" si="192"/>
        <v>0</v>
      </c>
    </row>
    <row r="2314" spans="12:16" ht="15" hidden="1" customHeight="1">
      <c r="L2314" s="43" t="str">
        <f t="shared" si="188"/>
        <v>-</v>
      </c>
      <c r="M2314" s="35">
        <f t="shared" si="189"/>
        <v>0</v>
      </c>
      <c r="N2314" s="35">
        <f t="shared" si="190"/>
        <v>0</v>
      </c>
      <c r="O2314" s="35">
        <f t="shared" si="191"/>
        <v>0</v>
      </c>
      <c r="P2314" s="35">
        <f t="shared" si="192"/>
        <v>0</v>
      </c>
    </row>
    <row r="2315" spans="12:16" ht="15" hidden="1" customHeight="1">
      <c r="L2315" s="43" t="str">
        <f t="shared" si="188"/>
        <v>-</v>
      </c>
      <c r="M2315" s="35">
        <f t="shared" si="189"/>
        <v>0</v>
      </c>
      <c r="N2315" s="35">
        <f t="shared" si="190"/>
        <v>0</v>
      </c>
      <c r="O2315" s="35">
        <f t="shared" si="191"/>
        <v>0</v>
      </c>
      <c r="P2315" s="35">
        <f t="shared" si="192"/>
        <v>0</v>
      </c>
    </row>
    <row r="2316" spans="12:16" ht="15" hidden="1" customHeight="1">
      <c r="L2316" s="43" t="str">
        <f t="shared" si="188"/>
        <v>-</v>
      </c>
      <c r="M2316" s="35">
        <f t="shared" si="189"/>
        <v>0</v>
      </c>
      <c r="N2316" s="35">
        <f t="shared" si="190"/>
        <v>0</v>
      </c>
      <c r="O2316" s="35">
        <f t="shared" si="191"/>
        <v>0</v>
      </c>
      <c r="P2316" s="35">
        <f t="shared" si="192"/>
        <v>0</v>
      </c>
    </row>
    <row r="2317" spans="12:16" ht="15" hidden="1" customHeight="1">
      <c r="L2317" s="43" t="str">
        <f t="shared" si="188"/>
        <v>-</v>
      </c>
      <c r="M2317" s="35">
        <f t="shared" si="189"/>
        <v>0</v>
      </c>
      <c r="N2317" s="35">
        <f t="shared" si="190"/>
        <v>0</v>
      </c>
      <c r="O2317" s="35">
        <f t="shared" si="191"/>
        <v>0</v>
      </c>
      <c r="P2317" s="35">
        <f t="shared" si="192"/>
        <v>0</v>
      </c>
    </row>
    <row r="2318" spans="12:16" ht="15" hidden="1" customHeight="1">
      <c r="L2318" s="43" t="str">
        <f t="shared" si="188"/>
        <v>-</v>
      </c>
      <c r="M2318" s="35">
        <f t="shared" si="189"/>
        <v>0</v>
      </c>
      <c r="N2318" s="35">
        <f t="shared" si="190"/>
        <v>0</v>
      </c>
      <c r="O2318" s="35">
        <f t="shared" si="191"/>
        <v>0</v>
      </c>
      <c r="P2318" s="35">
        <f t="shared" si="192"/>
        <v>0</v>
      </c>
    </row>
    <row r="2319" spans="12:16" ht="15" hidden="1" customHeight="1">
      <c r="L2319" s="43" t="str">
        <f t="shared" si="188"/>
        <v>-</v>
      </c>
      <c r="M2319" s="35">
        <f t="shared" si="189"/>
        <v>0</v>
      </c>
      <c r="N2319" s="35">
        <f t="shared" si="190"/>
        <v>0</v>
      </c>
      <c r="O2319" s="35">
        <f t="shared" si="191"/>
        <v>0</v>
      </c>
      <c r="P2319" s="35">
        <f t="shared" si="192"/>
        <v>0</v>
      </c>
    </row>
    <row r="2320" spans="12:16" ht="15" hidden="1" customHeight="1">
      <c r="L2320" s="43" t="str">
        <f t="shared" si="188"/>
        <v>-</v>
      </c>
      <c r="M2320" s="35">
        <f t="shared" si="189"/>
        <v>0</v>
      </c>
      <c r="N2320" s="35">
        <f t="shared" si="190"/>
        <v>0</v>
      </c>
      <c r="O2320" s="35">
        <f t="shared" si="191"/>
        <v>0</v>
      </c>
      <c r="P2320" s="35">
        <f t="shared" si="192"/>
        <v>0</v>
      </c>
    </row>
    <row r="2321" spans="12:16" ht="15" hidden="1" customHeight="1">
      <c r="L2321" s="43" t="str">
        <f t="shared" si="188"/>
        <v>-</v>
      </c>
      <c r="M2321" s="35">
        <f t="shared" si="189"/>
        <v>0</v>
      </c>
      <c r="N2321" s="35">
        <f t="shared" si="190"/>
        <v>0</v>
      </c>
      <c r="O2321" s="35">
        <f t="shared" si="191"/>
        <v>0</v>
      </c>
      <c r="P2321" s="35">
        <f t="shared" si="192"/>
        <v>0</v>
      </c>
    </row>
    <row r="2322" spans="12:16" ht="15" hidden="1" customHeight="1">
      <c r="L2322" s="43" t="str">
        <f t="shared" si="188"/>
        <v>-</v>
      </c>
      <c r="M2322" s="35">
        <f t="shared" si="189"/>
        <v>0</v>
      </c>
      <c r="N2322" s="35">
        <f t="shared" si="190"/>
        <v>0</v>
      </c>
      <c r="O2322" s="35">
        <f t="shared" si="191"/>
        <v>0</v>
      </c>
      <c r="P2322" s="35">
        <f t="shared" si="192"/>
        <v>0</v>
      </c>
    </row>
    <row r="2323" spans="12:16" ht="15" hidden="1" customHeight="1">
      <c r="L2323" s="43" t="str">
        <f t="shared" si="188"/>
        <v>-</v>
      </c>
      <c r="M2323" s="35">
        <f t="shared" si="189"/>
        <v>0</v>
      </c>
      <c r="N2323" s="35">
        <f t="shared" si="190"/>
        <v>0</v>
      </c>
      <c r="O2323" s="35">
        <f t="shared" si="191"/>
        <v>0</v>
      </c>
      <c r="P2323" s="35">
        <f t="shared" si="192"/>
        <v>0</v>
      </c>
    </row>
    <row r="2324" spans="12:16" ht="15" hidden="1" customHeight="1">
      <c r="L2324" s="43" t="str">
        <f t="shared" si="188"/>
        <v>-</v>
      </c>
      <c r="M2324" s="35">
        <f t="shared" si="189"/>
        <v>0</v>
      </c>
      <c r="N2324" s="35">
        <f t="shared" si="190"/>
        <v>0</v>
      </c>
      <c r="O2324" s="35">
        <f t="shared" si="191"/>
        <v>0</v>
      </c>
      <c r="P2324" s="35">
        <f t="shared" si="192"/>
        <v>0</v>
      </c>
    </row>
    <row r="2325" spans="12:16" ht="15" hidden="1" customHeight="1">
      <c r="L2325" s="43" t="str">
        <f t="shared" si="188"/>
        <v>-</v>
      </c>
      <c r="M2325" s="35">
        <f t="shared" si="189"/>
        <v>0</v>
      </c>
      <c r="N2325" s="35">
        <f t="shared" si="190"/>
        <v>0</v>
      </c>
      <c r="O2325" s="35">
        <f t="shared" si="191"/>
        <v>0</v>
      </c>
      <c r="P2325" s="35">
        <f t="shared" si="192"/>
        <v>0</v>
      </c>
    </row>
    <row r="2326" spans="12:16" ht="15" hidden="1" customHeight="1">
      <c r="L2326" s="43" t="str">
        <f t="shared" si="188"/>
        <v>-</v>
      </c>
      <c r="M2326" s="35">
        <f t="shared" si="189"/>
        <v>0</v>
      </c>
      <c r="N2326" s="35">
        <f t="shared" si="190"/>
        <v>0</v>
      </c>
      <c r="O2326" s="35">
        <f t="shared" si="191"/>
        <v>0</v>
      </c>
      <c r="P2326" s="35">
        <f t="shared" si="192"/>
        <v>0</v>
      </c>
    </row>
    <row r="2327" spans="12:16" ht="15" hidden="1" customHeight="1">
      <c r="L2327" s="43" t="str">
        <f t="shared" si="188"/>
        <v>-</v>
      </c>
      <c r="M2327" s="35">
        <f t="shared" si="189"/>
        <v>0</v>
      </c>
      <c r="N2327" s="35">
        <f t="shared" si="190"/>
        <v>0</v>
      </c>
      <c r="O2327" s="35">
        <f t="shared" si="191"/>
        <v>0</v>
      </c>
      <c r="P2327" s="35">
        <f t="shared" si="192"/>
        <v>0</v>
      </c>
    </row>
    <row r="2328" spans="12:16" ht="15" hidden="1" customHeight="1">
      <c r="L2328" s="43" t="str">
        <f t="shared" si="188"/>
        <v>-</v>
      </c>
      <c r="M2328" s="35">
        <f t="shared" si="189"/>
        <v>0</v>
      </c>
      <c r="N2328" s="35">
        <f t="shared" si="190"/>
        <v>0</v>
      </c>
      <c r="O2328" s="35">
        <f t="shared" si="191"/>
        <v>0</v>
      </c>
      <c r="P2328" s="35">
        <f t="shared" si="192"/>
        <v>0</v>
      </c>
    </row>
    <row r="2329" spans="12:16" ht="15" hidden="1" customHeight="1">
      <c r="L2329" s="43" t="str">
        <f t="shared" si="188"/>
        <v>-</v>
      </c>
      <c r="M2329" s="35">
        <f t="shared" si="189"/>
        <v>0</v>
      </c>
      <c r="N2329" s="35">
        <f t="shared" si="190"/>
        <v>0</v>
      </c>
      <c r="O2329" s="35">
        <f t="shared" si="191"/>
        <v>0</v>
      </c>
      <c r="P2329" s="35">
        <f t="shared" si="192"/>
        <v>0</v>
      </c>
    </row>
    <row r="2330" spans="12:16" ht="15" hidden="1" customHeight="1">
      <c r="L2330" s="43" t="str">
        <f t="shared" si="188"/>
        <v>-</v>
      </c>
      <c r="M2330" s="35">
        <f t="shared" si="189"/>
        <v>0</v>
      </c>
      <c r="N2330" s="35">
        <f t="shared" si="190"/>
        <v>0</v>
      </c>
      <c r="O2330" s="35">
        <f t="shared" si="191"/>
        <v>0</v>
      </c>
      <c r="P2330" s="35">
        <f t="shared" si="192"/>
        <v>0</v>
      </c>
    </row>
    <row r="2331" spans="12:16" ht="15" hidden="1" customHeight="1">
      <c r="L2331" s="43" t="str">
        <f t="shared" si="188"/>
        <v>-</v>
      </c>
      <c r="M2331" s="35">
        <f t="shared" si="189"/>
        <v>0</v>
      </c>
      <c r="N2331" s="35">
        <f t="shared" si="190"/>
        <v>0</v>
      </c>
      <c r="O2331" s="35">
        <f t="shared" si="191"/>
        <v>0</v>
      </c>
      <c r="P2331" s="35">
        <f t="shared" si="192"/>
        <v>0</v>
      </c>
    </row>
    <row r="2332" spans="12:16" ht="15" hidden="1" customHeight="1">
      <c r="L2332" s="43" t="str">
        <f t="shared" si="188"/>
        <v>-</v>
      </c>
      <c r="M2332" s="35">
        <f t="shared" si="189"/>
        <v>0</v>
      </c>
      <c r="N2332" s="35">
        <f t="shared" si="190"/>
        <v>0</v>
      </c>
      <c r="O2332" s="35">
        <f t="shared" si="191"/>
        <v>0</v>
      </c>
      <c r="P2332" s="35">
        <f t="shared" si="192"/>
        <v>0</v>
      </c>
    </row>
    <row r="2333" spans="12:16" ht="15" hidden="1" customHeight="1">
      <c r="L2333" s="43" t="str">
        <f t="shared" si="188"/>
        <v>-</v>
      </c>
      <c r="M2333" s="35">
        <f t="shared" si="189"/>
        <v>0</v>
      </c>
      <c r="N2333" s="35">
        <f t="shared" si="190"/>
        <v>0</v>
      </c>
      <c r="O2333" s="35">
        <f t="shared" si="191"/>
        <v>0</v>
      </c>
      <c r="P2333" s="35">
        <f t="shared" si="192"/>
        <v>0</v>
      </c>
    </row>
    <row r="2334" spans="12:16" ht="15" hidden="1" customHeight="1">
      <c r="L2334" s="43" t="str">
        <f t="shared" si="188"/>
        <v>-</v>
      </c>
      <c r="M2334" s="35">
        <f t="shared" si="189"/>
        <v>0</v>
      </c>
      <c r="N2334" s="35">
        <f t="shared" si="190"/>
        <v>0</v>
      </c>
      <c r="O2334" s="35">
        <f t="shared" si="191"/>
        <v>0</v>
      </c>
      <c r="P2334" s="35">
        <f t="shared" si="192"/>
        <v>0</v>
      </c>
    </row>
    <row r="2335" spans="12:16" ht="15" hidden="1" customHeight="1">
      <c r="L2335" s="43" t="str">
        <f t="shared" ref="L2335:L2398" si="193">IFERROR(IF(MAX(L2334+1,Дата_получения_Займа+1)&gt;Дата_погашения_Займа,"-",MAX(L2334+1,Дата_получения_Займа+1)),"-")</f>
        <v>-</v>
      </c>
      <c r="M2335" s="35">
        <f t="shared" ref="M2335:M2398" si="194">IFERROR(VLOOKUP(L2335,$B$31:$E$59,4,FALSE),0)</f>
        <v>0</v>
      </c>
      <c r="N2335" s="35">
        <f t="shared" ref="N2335:N2398" si="195">IF(ISNUMBER(N2334),N2334-M2335,$E$20)</f>
        <v>0</v>
      </c>
      <c r="O2335" s="35">
        <f t="shared" ref="O2335:O2398" si="196">IFERROR(IF(ISNUMBER(N2334),N2334,$E$20)*IF(L2335&gt;=$J$20,$E$25,$E$24)/IF(MOD(YEAR(L2335),4),365,366)*IF(ISBLANK(L2334),L2335-$E$22,L2335-L2334),0)</f>
        <v>0</v>
      </c>
      <c r="P2335" s="35">
        <f t="shared" ref="P2335:P2398" si="197">IFERROR(IF(ISNUMBER(N2334),N2334,$E$20)*3%/IF(MOD(YEAR(L2335),4),365,366)*IF(ISBLANK(L2334),(L2335-$E$22),L2335-L2334),0)</f>
        <v>0</v>
      </c>
    </row>
    <row r="2336" spans="12:16" ht="15" hidden="1" customHeight="1">
      <c r="L2336" s="43" t="str">
        <f t="shared" si="193"/>
        <v>-</v>
      </c>
      <c r="M2336" s="35">
        <f t="shared" si="194"/>
        <v>0</v>
      </c>
      <c r="N2336" s="35">
        <f t="shared" si="195"/>
        <v>0</v>
      </c>
      <c r="O2336" s="35">
        <f t="shared" si="196"/>
        <v>0</v>
      </c>
      <c r="P2336" s="35">
        <f t="shared" si="197"/>
        <v>0</v>
      </c>
    </row>
    <row r="2337" spans="12:16" ht="15" hidden="1" customHeight="1">
      <c r="L2337" s="43" t="str">
        <f t="shared" si="193"/>
        <v>-</v>
      </c>
      <c r="M2337" s="35">
        <f t="shared" si="194"/>
        <v>0</v>
      </c>
      <c r="N2337" s="35">
        <f t="shared" si="195"/>
        <v>0</v>
      </c>
      <c r="O2337" s="35">
        <f t="shared" si="196"/>
        <v>0</v>
      </c>
      <c r="P2337" s="35">
        <f t="shared" si="197"/>
        <v>0</v>
      </c>
    </row>
    <row r="2338" spans="12:16" ht="15" hidden="1" customHeight="1">
      <c r="L2338" s="43" t="str">
        <f t="shared" si="193"/>
        <v>-</v>
      </c>
      <c r="M2338" s="35">
        <f t="shared" si="194"/>
        <v>0</v>
      </c>
      <c r="N2338" s="35">
        <f t="shared" si="195"/>
        <v>0</v>
      </c>
      <c r="O2338" s="35">
        <f t="shared" si="196"/>
        <v>0</v>
      </c>
      <c r="P2338" s="35">
        <f t="shared" si="197"/>
        <v>0</v>
      </c>
    </row>
    <row r="2339" spans="12:16" ht="15" hidden="1" customHeight="1">
      <c r="L2339" s="43" t="str">
        <f t="shared" si="193"/>
        <v>-</v>
      </c>
      <c r="M2339" s="35">
        <f t="shared" si="194"/>
        <v>0</v>
      </c>
      <c r="N2339" s="35">
        <f t="shared" si="195"/>
        <v>0</v>
      </c>
      <c r="O2339" s="35">
        <f t="shared" si="196"/>
        <v>0</v>
      </c>
      <c r="P2339" s="35">
        <f t="shared" si="197"/>
        <v>0</v>
      </c>
    </row>
    <row r="2340" spans="12:16" ht="15" hidden="1" customHeight="1">
      <c r="L2340" s="43" t="str">
        <f t="shared" si="193"/>
        <v>-</v>
      </c>
      <c r="M2340" s="35">
        <f t="shared" si="194"/>
        <v>0</v>
      </c>
      <c r="N2340" s="35">
        <f t="shared" si="195"/>
        <v>0</v>
      </c>
      <c r="O2340" s="35">
        <f t="shared" si="196"/>
        <v>0</v>
      </c>
      <c r="P2340" s="35">
        <f t="shared" si="197"/>
        <v>0</v>
      </c>
    </row>
    <row r="2341" spans="12:16" ht="15" hidden="1" customHeight="1">
      <c r="L2341" s="43" t="str">
        <f t="shared" si="193"/>
        <v>-</v>
      </c>
      <c r="M2341" s="35">
        <f t="shared" si="194"/>
        <v>0</v>
      </c>
      <c r="N2341" s="35">
        <f t="shared" si="195"/>
        <v>0</v>
      </c>
      <c r="O2341" s="35">
        <f t="shared" si="196"/>
        <v>0</v>
      </c>
      <c r="P2341" s="35">
        <f t="shared" si="197"/>
        <v>0</v>
      </c>
    </row>
    <row r="2342" spans="12:16" ht="15" hidden="1" customHeight="1">
      <c r="L2342" s="43" t="str">
        <f t="shared" si="193"/>
        <v>-</v>
      </c>
      <c r="M2342" s="35">
        <f t="shared" si="194"/>
        <v>0</v>
      </c>
      <c r="N2342" s="35">
        <f t="shared" si="195"/>
        <v>0</v>
      </c>
      <c r="O2342" s="35">
        <f t="shared" si="196"/>
        <v>0</v>
      </c>
      <c r="P2342" s="35">
        <f t="shared" si="197"/>
        <v>0</v>
      </c>
    </row>
    <row r="2343" spans="12:16" ht="15" hidden="1" customHeight="1">
      <c r="L2343" s="43" t="str">
        <f t="shared" si="193"/>
        <v>-</v>
      </c>
      <c r="M2343" s="35">
        <f t="shared" si="194"/>
        <v>0</v>
      </c>
      <c r="N2343" s="35">
        <f t="shared" si="195"/>
        <v>0</v>
      </c>
      <c r="O2343" s="35">
        <f t="shared" si="196"/>
        <v>0</v>
      </c>
      <c r="P2343" s="35">
        <f t="shared" si="197"/>
        <v>0</v>
      </c>
    </row>
    <row r="2344" spans="12:16" ht="15" hidden="1" customHeight="1">
      <c r="L2344" s="43" t="str">
        <f t="shared" si="193"/>
        <v>-</v>
      </c>
      <c r="M2344" s="35">
        <f t="shared" si="194"/>
        <v>0</v>
      </c>
      <c r="N2344" s="35">
        <f t="shared" si="195"/>
        <v>0</v>
      </c>
      <c r="O2344" s="35">
        <f t="shared" si="196"/>
        <v>0</v>
      </c>
      <c r="P2344" s="35">
        <f t="shared" si="197"/>
        <v>0</v>
      </c>
    </row>
    <row r="2345" spans="12:16" ht="15" hidden="1" customHeight="1">
      <c r="L2345" s="43" t="str">
        <f t="shared" si="193"/>
        <v>-</v>
      </c>
      <c r="M2345" s="35">
        <f t="shared" si="194"/>
        <v>0</v>
      </c>
      <c r="N2345" s="35">
        <f t="shared" si="195"/>
        <v>0</v>
      </c>
      <c r="O2345" s="35">
        <f t="shared" si="196"/>
        <v>0</v>
      </c>
      <c r="P2345" s="35">
        <f t="shared" si="197"/>
        <v>0</v>
      </c>
    </row>
    <row r="2346" spans="12:16" ht="15" hidden="1" customHeight="1">
      <c r="L2346" s="43" t="str">
        <f t="shared" si="193"/>
        <v>-</v>
      </c>
      <c r="M2346" s="35">
        <f t="shared" si="194"/>
        <v>0</v>
      </c>
      <c r="N2346" s="35">
        <f t="shared" si="195"/>
        <v>0</v>
      </c>
      <c r="O2346" s="35">
        <f t="shared" si="196"/>
        <v>0</v>
      </c>
      <c r="P2346" s="35">
        <f t="shared" si="197"/>
        <v>0</v>
      </c>
    </row>
    <row r="2347" spans="12:16" ht="15" hidden="1" customHeight="1">
      <c r="L2347" s="43" t="str">
        <f t="shared" si="193"/>
        <v>-</v>
      </c>
      <c r="M2347" s="35">
        <f t="shared" si="194"/>
        <v>0</v>
      </c>
      <c r="N2347" s="35">
        <f t="shared" si="195"/>
        <v>0</v>
      </c>
      <c r="O2347" s="35">
        <f t="shared" si="196"/>
        <v>0</v>
      </c>
      <c r="P2347" s="35">
        <f t="shared" si="197"/>
        <v>0</v>
      </c>
    </row>
    <row r="2348" spans="12:16" ht="15" hidden="1" customHeight="1">
      <c r="L2348" s="43" t="str">
        <f t="shared" si="193"/>
        <v>-</v>
      </c>
      <c r="M2348" s="35">
        <f t="shared" si="194"/>
        <v>0</v>
      </c>
      <c r="N2348" s="35">
        <f t="shared" si="195"/>
        <v>0</v>
      </c>
      <c r="O2348" s="35">
        <f t="shared" si="196"/>
        <v>0</v>
      </c>
      <c r="P2348" s="35">
        <f t="shared" si="197"/>
        <v>0</v>
      </c>
    </row>
    <row r="2349" spans="12:16" ht="15" hidden="1" customHeight="1">
      <c r="L2349" s="43" t="str">
        <f t="shared" si="193"/>
        <v>-</v>
      </c>
      <c r="M2349" s="35">
        <f t="shared" si="194"/>
        <v>0</v>
      </c>
      <c r="N2349" s="35">
        <f t="shared" si="195"/>
        <v>0</v>
      </c>
      <c r="O2349" s="35">
        <f t="shared" si="196"/>
        <v>0</v>
      </c>
      <c r="P2349" s="35">
        <f t="shared" si="197"/>
        <v>0</v>
      </c>
    </row>
    <row r="2350" spans="12:16" ht="15" hidden="1" customHeight="1">
      <c r="L2350" s="43" t="str">
        <f t="shared" si="193"/>
        <v>-</v>
      </c>
      <c r="M2350" s="35">
        <f t="shared" si="194"/>
        <v>0</v>
      </c>
      <c r="N2350" s="35">
        <f t="shared" si="195"/>
        <v>0</v>
      </c>
      <c r="O2350" s="35">
        <f t="shared" si="196"/>
        <v>0</v>
      </c>
      <c r="P2350" s="35">
        <f t="shared" si="197"/>
        <v>0</v>
      </c>
    </row>
    <row r="2351" spans="12:16" ht="15" hidden="1" customHeight="1">
      <c r="L2351" s="43" t="str">
        <f t="shared" si="193"/>
        <v>-</v>
      </c>
      <c r="M2351" s="35">
        <f t="shared" si="194"/>
        <v>0</v>
      </c>
      <c r="N2351" s="35">
        <f t="shared" si="195"/>
        <v>0</v>
      </c>
      <c r="O2351" s="35">
        <f t="shared" si="196"/>
        <v>0</v>
      </c>
      <c r="P2351" s="35">
        <f t="shared" si="197"/>
        <v>0</v>
      </c>
    </row>
    <row r="2352" spans="12:16" ht="15" hidden="1" customHeight="1">
      <c r="L2352" s="43" t="str">
        <f t="shared" si="193"/>
        <v>-</v>
      </c>
      <c r="M2352" s="35">
        <f t="shared" si="194"/>
        <v>0</v>
      </c>
      <c r="N2352" s="35">
        <f t="shared" si="195"/>
        <v>0</v>
      </c>
      <c r="O2352" s="35">
        <f t="shared" si="196"/>
        <v>0</v>
      </c>
      <c r="P2352" s="35">
        <f t="shared" si="197"/>
        <v>0</v>
      </c>
    </row>
    <row r="2353" spans="12:16" ht="15" hidden="1" customHeight="1">
      <c r="L2353" s="43" t="str">
        <f t="shared" si="193"/>
        <v>-</v>
      </c>
      <c r="M2353" s="35">
        <f t="shared" si="194"/>
        <v>0</v>
      </c>
      <c r="N2353" s="35">
        <f t="shared" si="195"/>
        <v>0</v>
      </c>
      <c r="O2353" s="35">
        <f t="shared" si="196"/>
        <v>0</v>
      </c>
      <c r="P2353" s="35">
        <f t="shared" si="197"/>
        <v>0</v>
      </c>
    </row>
    <row r="2354" spans="12:16" ht="15" hidden="1" customHeight="1">
      <c r="L2354" s="43" t="str">
        <f t="shared" si="193"/>
        <v>-</v>
      </c>
      <c r="M2354" s="35">
        <f t="shared" si="194"/>
        <v>0</v>
      </c>
      <c r="N2354" s="35">
        <f t="shared" si="195"/>
        <v>0</v>
      </c>
      <c r="O2354" s="35">
        <f t="shared" si="196"/>
        <v>0</v>
      </c>
      <c r="P2354" s="35">
        <f t="shared" si="197"/>
        <v>0</v>
      </c>
    </row>
    <row r="2355" spans="12:16" ht="15" hidden="1" customHeight="1">
      <c r="L2355" s="43" t="str">
        <f t="shared" si="193"/>
        <v>-</v>
      </c>
      <c r="M2355" s="35">
        <f t="shared" si="194"/>
        <v>0</v>
      </c>
      <c r="N2355" s="35">
        <f t="shared" si="195"/>
        <v>0</v>
      </c>
      <c r="O2355" s="35">
        <f t="shared" si="196"/>
        <v>0</v>
      </c>
      <c r="P2355" s="35">
        <f t="shared" si="197"/>
        <v>0</v>
      </c>
    </row>
    <row r="2356" spans="12:16" ht="15" hidden="1" customHeight="1">
      <c r="L2356" s="43" t="str">
        <f t="shared" si="193"/>
        <v>-</v>
      </c>
      <c r="M2356" s="35">
        <f t="shared" si="194"/>
        <v>0</v>
      </c>
      <c r="N2356" s="35">
        <f t="shared" si="195"/>
        <v>0</v>
      </c>
      <c r="O2356" s="35">
        <f t="shared" si="196"/>
        <v>0</v>
      </c>
      <c r="P2356" s="35">
        <f t="shared" si="197"/>
        <v>0</v>
      </c>
    </row>
    <row r="2357" spans="12:16" ht="15" hidden="1" customHeight="1">
      <c r="L2357" s="43" t="str">
        <f t="shared" si="193"/>
        <v>-</v>
      </c>
      <c r="M2357" s="35">
        <f t="shared" si="194"/>
        <v>0</v>
      </c>
      <c r="N2357" s="35">
        <f t="shared" si="195"/>
        <v>0</v>
      </c>
      <c r="O2357" s="35">
        <f t="shared" si="196"/>
        <v>0</v>
      </c>
      <c r="P2357" s="35">
        <f t="shared" si="197"/>
        <v>0</v>
      </c>
    </row>
    <row r="2358" spans="12:16" ht="15" hidden="1" customHeight="1">
      <c r="L2358" s="43" t="str">
        <f t="shared" si="193"/>
        <v>-</v>
      </c>
      <c r="M2358" s="35">
        <f t="shared" si="194"/>
        <v>0</v>
      </c>
      <c r="N2358" s="35">
        <f t="shared" si="195"/>
        <v>0</v>
      </c>
      <c r="O2358" s="35">
        <f t="shared" si="196"/>
        <v>0</v>
      </c>
      <c r="P2358" s="35">
        <f t="shared" si="197"/>
        <v>0</v>
      </c>
    </row>
    <row r="2359" spans="12:16" ht="15" hidden="1" customHeight="1">
      <c r="L2359" s="43" t="str">
        <f t="shared" si="193"/>
        <v>-</v>
      </c>
      <c r="M2359" s="35">
        <f t="shared" si="194"/>
        <v>0</v>
      </c>
      <c r="N2359" s="35">
        <f t="shared" si="195"/>
        <v>0</v>
      </c>
      <c r="O2359" s="35">
        <f t="shared" si="196"/>
        <v>0</v>
      </c>
      <c r="P2359" s="35">
        <f t="shared" si="197"/>
        <v>0</v>
      </c>
    </row>
    <row r="2360" spans="12:16" ht="15" hidden="1" customHeight="1">
      <c r="L2360" s="43" t="str">
        <f t="shared" si="193"/>
        <v>-</v>
      </c>
      <c r="M2360" s="35">
        <f t="shared" si="194"/>
        <v>0</v>
      </c>
      <c r="N2360" s="35">
        <f t="shared" si="195"/>
        <v>0</v>
      </c>
      <c r="O2360" s="35">
        <f t="shared" si="196"/>
        <v>0</v>
      </c>
      <c r="P2360" s="35">
        <f t="shared" si="197"/>
        <v>0</v>
      </c>
    </row>
    <row r="2361" spans="12:16" ht="15" hidden="1" customHeight="1">
      <c r="L2361" s="43" t="str">
        <f t="shared" si="193"/>
        <v>-</v>
      </c>
      <c r="M2361" s="35">
        <f t="shared" si="194"/>
        <v>0</v>
      </c>
      <c r="N2361" s="35">
        <f t="shared" si="195"/>
        <v>0</v>
      </c>
      <c r="O2361" s="35">
        <f t="shared" si="196"/>
        <v>0</v>
      </c>
      <c r="P2361" s="35">
        <f t="shared" si="197"/>
        <v>0</v>
      </c>
    </row>
    <row r="2362" spans="12:16" ht="15" hidden="1" customHeight="1">
      <c r="L2362" s="43" t="str">
        <f t="shared" si="193"/>
        <v>-</v>
      </c>
      <c r="M2362" s="35">
        <f t="shared" si="194"/>
        <v>0</v>
      </c>
      <c r="N2362" s="35">
        <f t="shared" si="195"/>
        <v>0</v>
      </c>
      <c r="O2362" s="35">
        <f t="shared" si="196"/>
        <v>0</v>
      </c>
      <c r="P2362" s="35">
        <f t="shared" si="197"/>
        <v>0</v>
      </c>
    </row>
    <row r="2363" spans="12:16" ht="15" hidden="1" customHeight="1">
      <c r="L2363" s="43" t="str">
        <f t="shared" si="193"/>
        <v>-</v>
      </c>
      <c r="M2363" s="35">
        <f t="shared" si="194"/>
        <v>0</v>
      </c>
      <c r="N2363" s="35">
        <f t="shared" si="195"/>
        <v>0</v>
      </c>
      <c r="O2363" s="35">
        <f t="shared" si="196"/>
        <v>0</v>
      </c>
      <c r="P2363" s="35">
        <f t="shared" si="197"/>
        <v>0</v>
      </c>
    </row>
    <row r="2364" spans="12:16" ht="15" hidden="1" customHeight="1">
      <c r="L2364" s="43" t="str">
        <f t="shared" si="193"/>
        <v>-</v>
      </c>
      <c r="M2364" s="35">
        <f t="shared" si="194"/>
        <v>0</v>
      </c>
      <c r="N2364" s="35">
        <f t="shared" si="195"/>
        <v>0</v>
      </c>
      <c r="O2364" s="35">
        <f t="shared" si="196"/>
        <v>0</v>
      </c>
      <c r="P2364" s="35">
        <f t="shared" si="197"/>
        <v>0</v>
      </c>
    </row>
    <row r="2365" spans="12:16" ht="15" hidden="1" customHeight="1">
      <c r="L2365" s="43" t="str">
        <f t="shared" si="193"/>
        <v>-</v>
      </c>
      <c r="M2365" s="35">
        <f t="shared" si="194"/>
        <v>0</v>
      </c>
      <c r="N2365" s="35">
        <f t="shared" si="195"/>
        <v>0</v>
      </c>
      <c r="O2365" s="35">
        <f t="shared" si="196"/>
        <v>0</v>
      </c>
      <c r="P2365" s="35">
        <f t="shared" si="197"/>
        <v>0</v>
      </c>
    </row>
    <row r="2366" spans="12:16" ht="15" hidden="1" customHeight="1">
      <c r="L2366" s="43" t="str">
        <f t="shared" si="193"/>
        <v>-</v>
      </c>
      <c r="M2366" s="35">
        <f t="shared" si="194"/>
        <v>0</v>
      </c>
      <c r="N2366" s="35">
        <f t="shared" si="195"/>
        <v>0</v>
      </c>
      <c r="O2366" s="35">
        <f t="shared" si="196"/>
        <v>0</v>
      </c>
      <c r="P2366" s="35">
        <f t="shared" si="197"/>
        <v>0</v>
      </c>
    </row>
    <row r="2367" spans="12:16" ht="15" hidden="1" customHeight="1">
      <c r="L2367" s="43" t="str">
        <f t="shared" si="193"/>
        <v>-</v>
      </c>
      <c r="M2367" s="35">
        <f t="shared" si="194"/>
        <v>0</v>
      </c>
      <c r="N2367" s="35">
        <f t="shared" si="195"/>
        <v>0</v>
      </c>
      <c r="O2367" s="35">
        <f t="shared" si="196"/>
        <v>0</v>
      </c>
      <c r="P2367" s="35">
        <f t="shared" si="197"/>
        <v>0</v>
      </c>
    </row>
    <row r="2368" spans="12:16" ht="15" hidden="1" customHeight="1">
      <c r="L2368" s="43" t="str">
        <f t="shared" si="193"/>
        <v>-</v>
      </c>
      <c r="M2368" s="35">
        <f t="shared" si="194"/>
        <v>0</v>
      </c>
      <c r="N2368" s="35">
        <f t="shared" si="195"/>
        <v>0</v>
      </c>
      <c r="O2368" s="35">
        <f t="shared" si="196"/>
        <v>0</v>
      </c>
      <c r="P2368" s="35">
        <f t="shared" si="197"/>
        <v>0</v>
      </c>
    </row>
    <row r="2369" spans="12:16" ht="15" hidden="1" customHeight="1">
      <c r="L2369" s="43" t="str">
        <f t="shared" si="193"/>
        <v>-</v>
      </c>
      <c r="M2369" s="35">
        <f t="shared" si="194"/>
        <v>0</v>
      </c>
      <c r="N2369" s="35">
        <f t="shared" si="195"/>
        <v>0</v>
      </c>
      <c r="O2369" s="35">
        <f t="shared" si="196"/>
        <v>0</v>
      </c>
      <c r="P2369" s="35">
        <f t="shared" si="197"/>
        <v>0</v>
      </c>
    </row>
    <row r="2370" spans="12:16" ht="15" hidden="1" customHeight="1">
      <c r="L2370" s="43" t="str">
        <f t="shared" si="193"/>
        <v>-</v>
      </c>
      <c r="M2370" s="35">
        <f t="shared" si="194"/>
        <v>0</v>
      </c>
      <c r="N2370" s="35">
        <f t="shared" si="195"/>
        <v>0</v>
      </c>
      <c r="O2370" s="35">
        <f t="shared" si="196"/>
        <v>0</v>
      </c>
      <c r="P2370" s="35">
        <f t="shared" si="197"/>
        <v>0</v>
      </c>
    </row>
    <row r="2371" spans="12:16" ht="15" hidden="1" customHeight="1">
      <c r="L2371" s="43" t="str">
        <f t="shared" si="193"/>
        <v>-</v>
      </c>
      <c r="M2371" s="35">
        <f t="shared" si="194"/>
        <v>0</v>
      </c>
      <c r="N2371" s="35">
        <f t="shared" si="195"/>
        <v>0</v>
      </c>
      <c r="O2371" s="35">
        <f t="shared" si="196"/>
        <v>0</v>
      </c>
      <c r="P2371" s="35">
        <f t="shared" si="197"/>
        <v>0</v>
      </c>
    </row>
    <row r="2372" spans="12:16" ht="15" hidden="1" customHeight="1">
      <c r="L2372" s="43" t="str">
        <f t="shared" si="193"/>
        <v>-</v>
      </c>
      <c r="M2372" s="35">
        <f t="shared" si="194"/>
        <v>0</v>
      </c>
      <c r="N2372" s="35">
        <f t="shared" si="195"/>
        <v>0</v>
      </c>
      <c r="O2372" s="35">
        <f t="shared" si="196"/>
        <v>0</v>
      </c>
      <c r="P2372" s="35">
        <f t="shared" si="197"/>
        <v>0</v>
      </c>
    </row>
    <row r="2373" spans="12:16" ht="15" hidden="1" customHeight="1">
      <c r="L2373" s="43" t="str">
        <f t="shared" si="193"/>
        <v>-</v>
      </c>
      <c r="M2373" s="35">
        <f t="shared" si="194"/>
        <v>0</v>
      </c>
      <c r="N2373" s="35">
        <f t="shared" si="195"/>
        <v>0</v>
      </c>
      <c r="O2373" s="35">
        <f t="shared" si="196"/>
        <v>0</v>
      </c>
      <c r="P2373" s="35">
        <f t="shared" si="197"/>
        <v>0</v>
      </c>
    </row>
    <row r="2374" spans="12:16" ht="15" hidden="1" customHeight="1">
      <c r="L2374" s="43" t="str">
        <f t="shared" si="193"/>
        <v>-</v>
      </c>
      <c r="M2374" s="35">
        <f t="shared" si="194"/>
        <v>0</v>
      </c>
      <c r="N2374" s="35">
        <f t="shared" si="195"/>
        <v>0</v>
      </c>
      <c r="O2374" s="35">
        <f t="shared" si="196"/>
        <v>0</v>
      </c>
      <c r="P2374" s="35">
        <f t="shared" si="197"/>
        <v>0</v>
      </c>
    </row>
    <row r="2375" spans="12:16" ht="15" hidden="1" customHeight="1">
      <c r="L2375" s="43" t="str">
        <f t="shared" si="193"/>
        <v>-</v>
      </c>
      <c r="M2375" s="35">
        <f t="shared" si="194"/>
        <v>0</v>
      </c>
      <c r="N2375" s="35">
        <f t="shared" si="195"/>
        <v>0</v>
      </c>
      <c r="O2375" s="35">
        <f t="shared" si="196"/>
        <v>0</v>
      </c>
      <c r="P2375" s="35">
        <f t="shared" si="197"/>
        <v>0</v>
      </c>
    </row>
    <row r="2376" spans="12:16" ht="15" hidden="1" customHeight="1">
      <c r="L2376" s="43" t="str">
        <f t="shared" si="193"/>
        <v>-</v>
      </c>
      <c r="M2376" s="35">
        <f t="shared" si="194"/>
        <v>0</v>
      </c>
      <c r="N2376" s="35">
        <f t="shared" si="195"/>
        <v>0</v>
      </c>
      <c r="O2376" s="35">
        <f t="shared" si="196"/>
        <v>0</v>
      </c>
      <c r="P2376" s="35">
        <f t="shared" si="197"/>
        <v>0</v>
      </c>
    </row>
    <row r="2377" spans="12:16" ht="15" hidden="1" customHeight="1">
      <c r="L2377" s="43" t="str">
        <f t="shared" si="193"/>
        <v>-</v>
      </c>
      <c r="M2377" s="35">
        <f t="shared" si="194"/>
        <v>0</v>
      </c>
      <c r="N2377" s="35">
        <f t="shared" si="195"/>
        <v>0</v>
      </c>
      <c r="O2377" s="35">
        <f t="shared" si="196"/>
        <v>0</v>
      </c>
      <c r="P2377" s="35">
        <f t="shared" si="197"/>
        <v>0</v>
      </c>
    </row>
    <row r="2378" spans="12:16" ht="15" hidden="1" customHeight="1">
      <c r="L2378" s="43" t="str">
        <f t="shared" si="193"/>
        <v>-</v>
      </c>
      <c r="M2378" s="35">
        <f t="shared" si="194"/>
        <v>0</v>
      </c>
      <c r="N2378" s="35">
        <f t="shared" si="195"/>
        <v>0</v>
      </c>
      <c r="O2378" s="35">
        <f t="shared" si="196"/>
        <v>0</v>
      </c>
      <c r="P2378" s="35">
        <f t="shared" si="197"/>
        <v>0</v>
      </c>
    </row>
    <row r="2379" spans="12:16" ht="15" hidden="1" customHeight="1">
      <c r="L2379" s="43" t="str">
        <f t="shared" si="193"/>
        <v>-</v>
      </c>
      <c r="M2379" s="35">
        <f t="shared" si="194"/>
        <v>0</v>
      </c>
      <c r="N2379" s="35">
        <f t="shared" si="195"/>
        <v>0</v>
      </c>
      <c r="O2379" s="35">
        <f t="shared" si="196"/>
        <v>0</v>
      </c>
      <c r="P2379" s="35">
        <f t="shared" si="197"/>
        <v>0</v>
      </c>
    </row>
    <row r="2380" spans="12:16" ht="15" hidden="1" customHeight="1">
      <c r="L2380" s="43" t="str">
        <f t="shared" si="193"/>
        <v>-</v>
      </c>
      <c r="M2380" s="35">
        <f t="shared" si="194"/>
        <v>0</v>
      </c>
      <c r="N2380" s="35">
        <f t="shared" si="195"/>
        <v>0</v>
      </c>
      <c r="O2380" s="35">
        <f t="shared" si="196"/>
        <v>0</v>
      </c>
      <c r="P2380" s="35">
        <f t="shared" si="197"/>
        <v>0</v>
      </c>
    </row>
    <row r="2381" spans="12:16" ht="15" hidden="1" customHeight="1">
      <c r="L2381" s="43" t="str">
        <f t="shared" si="193"/>
        <v>-</v>
      </c>
      <c r="M2381" s="35">
        <f t="shared" si="194"/>
        <v>0</v>
      </c>
      <c r="N2381" s="35">
        <f t="shared" si="195"/>
        <v>0</v>
      </c>
      <c r="O2381" s="35">
        <f t="shared" si="196"/>
        <v>0</v>
      </c>
      <c r="P2381" s="35">
        <f t="shared" si="197"/>
        <v>0</v>
      </c>
    </row>
    <row r="2382" spans="12:16" ht="15" hidden="1" customHeight="1">
      <c r="L2382" s="43" t="str">
        <f t="shared" si="193"/>
        <v>-</v>
      </c>
      <c r="M2382" s="35">
        <f t="shared" si="194"/>
        <v>0</v>
      </c>
      <c r="N2382" s="35">
        <f t="shared" si="195"/>
        <v>0</v>
      </c>
      <c r="O2382" s="35">
        <f t="shared" si="196"/>
        <v>0</v>
      </c>
      <c r="P2382" s="35">
        <f t="shared" si="197"/>
        <v>0</v>
      </c>
    </row>
    <row r="2383" spans="12:16" ht="15" hidden="1" customHeight="1">
      <c r="L2383" s="43" t="str">
        <f t="shared" si="193"/>
        <v>-</v>
      </c>
      <c r="M2383" s="35">
        <f t="shared" si="194"/>
        <v>0</v>
      </c>
      <c r="N2383" s="35">
        <f t="shared" si="195"/>
        <v>0</v>
      </c>
      <c r="O2383" s="35">
        <f t="shared" si="196"/>
        <v>0</v>
      </c>
      <c r="P2383" s="35">
        <f t="shared" si="197"/>
        <v>0</v>
      </c>
    </row>
    <row r="2384" spans="12:16" ht="15" hidden="1" customHeight="1">
      <c r="L2384" s="43" t="str">
        <f t="shared" si="193"/>
        <v>-</v>
      </c>
      <c r="M2384" s="35">
        <f t="shared" si="194"/>
        <v>0</v>
      </c>
      <c r="N2384" s="35">
        <f t="shared" si="195"/>
        <v>0</v>
      </c>
      <c r="O2384" s="35">
        <f t="shared" si="196"/>
        <v>0</v>
      </c>
      <c r="P2384" s="35">
        <f t="shared" si="197"/>
        <v>0</v>
      </c>
    </row>
    <row r="2385" spans="12:16" ht="15" hidden="1" customHeight="1">
      <c r="L2385" s="43" t="str">
        <f t="shared" si="193"/>
        <v>-</v>
      </c>
      <c r="M2385" s="35">
        <f t="shared" si="194"/>
        <v>0</v>
      </c>
      <c r="N2385" s="35">
        <f t="shared" si="195"/>
        <v>0</v>
      </c>
      <c r="O2385" s="35">
        <f t="shared" si="196"/>
        <v>0</v>
      </c>
      <c r="P2385" s="35">
        <f t="shared" si="197"/>
        <v>0</v>
      </c>
    </row>
    <row r="2386" spans="12:16" ht="15" hidden="1" customHeight="1">
      <c r="L2386" s="43" t="str">
        <f t="shared" si="193"/>
        <v>-</v>
      </c>
      <c r="M2386" s="35">
        <f t="shared" si="194"/>
        <v>0</v>
      </c>
      <c r="N2386" s="35">
        <f t="shared" si="195"/>
        <v>0</v>
      </c>
      <c r="O2386" s="35">
        <f t="shared" si="196"/>
        <v>0</v>
      </c>
      <c r="P2386" s="35">
        <f t="shared" si="197"/>
        <v>0</v>
      </c>
    </row>
    <row r="2387" spans="12:16" ht="15" hidden="1" customHeight="1">
      <c r="L2387" s="43" t="str">
        <f t="shared" si="193"/>
        <v>-</v>
      </c>
      <c r="M2387" s="35">
        <f t="shared" si="194"/>
        <v>0</v>
      </c>
      <c r="N2387" s="35">
        <f t="shared" si="195"/>
        <v>0</v>
      </c>
      <c r="O2387" s="35">
        <f t="shared" si="196"/>
        <v>0</v>
      </c>
      <c r="P2387" s="35">
        <f t="shared" si="197"/>
        <v>0</v>
      </c>
    </row>
    <row r="2388" spans="12:16" ht="15" hidden="1" customHeight="1">
      <c r="L2388" s="43" t="str">
        <f t="shared" si="193"/>
        <v>-</v>
      </c>
      <c r="M2388" s="35">
        <f t="shared" si="194"/>
        <v>0</v>
      </c>
      <c r="N2388" s="35">
        <f t="shared" si="195"/>
        <v>0</v>
      </c>
      <c r="O2388" s="35">
        <f t="shared" si="196"/>
        <v>0</v>
      </c>
      <c r="P2388" s="35">
        <f t="shared" si="197"/>
        <v>0</v>
      </c>
    </row>
    <row r="2389" spans="12:16" ht="15" hidden="1" customHeight="1">
      <c r="L2389" s="43" t="str">
        <f t="shared" si="193"/>
        <v>-</v>
      </c>
      <c r="M2389" s="35">
        <f t="shared" si="194"/>
        <v>0</v>
      </c>
      <c r="N2389" s="35">
        <f t="shared" si="195"/>
        <v>0</v>
      </c>
      <c r="O2389" s="35">
        <f t="shared" si="196"/>
        <v>0</v>
      </c>
      <c r="P2389" s="35">
        <f t="shared" si="197"/>
        <v>0</v>
      </c>
    </row>
    <row r="2390" spans="12:16" ht="15" hidden="1" customHeight="1">
      <c r="L2390" s="43" t="str">
        <f t="shared" si="193"/>
        <v>-</v>
      </c>
      <c r="M2390" s="35">
        <f t="shared" si="194"/>
        <v>0</v>
      </c>
      <c r="N2390" s="35">
        <f t="shared" si="195"/>
        <v>0</v>
      </c>
      <c r="O2390" s="35">
        <f t="shared" si="196"/>
        <v>0</v>
      </c>
      <c r="P2390" s="35">
        <f t="shared" si="197"/>
        <v>0</v>
      </c>
    </row>
    <row r="2391" spans="12:16" ht="15" hidden="1" customHeight="1">
      <c r="L2391" s="43" t="str">
        <f t="shared" si="193"/>
        <v>-</v>
      </c>
      <c r="M2391" s="35">
        <f t="shared" si="194"/>
        <v>0</v>
      </c>
      <c r="N2391" s="35">
        <f t="shared" si="195"/>
        <v>0</v>
      </c>
      <c r="O2391" s="35">
        <f t="shared" si="196"/>
        <v>0</v>
      </c>
      <c r="P2391" s="35">
        <f t="shared" si="197"/>
        <v>0</v>
      </c>
    </row>
    <row r="2392" spans="12:16" ht="15" hidden="1" customHeight="1">
      <c r="L2392" s="43" t="str">
        <f t="shared" si="193"/>
        <v>-</v>
      </c>
      <c r="M2392" s="35">
        <f t="shared" si="194"/>
        <v>0</v>
      </c>
      <c r="N2392" s="35">
        <f t="shared" si="195"/>
        <v>0</v>
      </c>
      <c r="O2392" s="35">
        <f t="shared" si="196"/>
        <v>0</v>
      </c>
      <c r="P2392" s="35">
        <f t="shared" si="197"/>
        <v>0</v>
      </c>
    </row>
    <row r="2393" spans="12:16" ht="15" hidden="1" customHeight="1">
      <c r="L2393" s="43" t="str">
        <f t="shared" si="193"/>
        <v>-</v>
      </c>
      <c r="M2393" s="35">
        <f t="shared" si="194"/>
        <v>0</v>
      </c>
      <c r="N2393" s="35">
        <f t="shared" si="195"/>
        <v>0</v>
      </c>
      <c r="O2393" s="35">
        <f t="shared" si="196"/>
        <v>0</v>
      </c>
      <c r="P2393" s="35">
        <f t="shared" si="197"/>
        <v>0</v>
      </c>
    </row>
    <row r="2394" spans="12:16" ht="15" hidden="1" customHeight="1">
      <c r="L2394" s="43" t="str">
        <f t="shared" si="193"/>
        <v>-</v>
      </c>
      <c r="M2394" s="35">
        <f t="shared" si="194"/>
        <v>0</v>
      </c>
      <c r="N2394" s="35">
        <f t="shared" si="195"/>
        <v>0</v>
      </c>
      <c r="O2394" s="35">
        <f t="shared" si="196"/>
        <v>0</v>
      </c>
      <c r="P2394" s="35">
        <f t="shared" si="197"/>
        <v>0</v>
      </c>
    </row>
    <row r="2395" spans="12:16" ht="15" hidden="1" customHeight="1">
      <c r="L2395" s="43" t="str">
        <f t="shared" si="193"/>
        <v>-</v>
      </c>
      <c r="M2395" s="35">
        <f t="shared" si="194"/>
        <v>0</v>
      </c>
      <c r="N2395" s="35">
        <f t="shared" si="195"/>
        <v>0</v>
      </c>
      <c r="O2395" s="35">
        <f t="shared" si="196"/>
        <v>0</v>
      </c>
      <c r="P2395" s="35">
        <f t="shared" si="197"/>
        <v>0</v>
      </c>
    </row>
    <row r="2396" spans="12:16" ht="15" hidden="1" customHeight="1">
      <c r="L2396" s="43" t="str">
        <f t="shared" si="193"/>
        <v>-</v>
      </c>
      <c r="M2396" s="35">
        <f t="shared" si="194"/>
        <v>0</v>
      </c>
      <c r="N2396" s="35">
        <f t="shared" si="195"/>
        <v>0</v>
      </c>
      <c r="O2396" s="35">
        <f t="shared" si="196"/>
        <v>0</v>
      </c>
      <c r="P2396" s="35">
        <f t="shared" si="197"/>
        <v>0</v>
      </c>
    </row>
    <row r="2397" spans="12:16" ht="15" hidden="1" customHeight="1">
      <c r="L2397" s="43" t="str">
        <f t="shared" si="193"/>
        <v>-</v>
      </c>
      <c r="M2397" s="35">
        <f t="shared" si="194"/>
        <v>0</v>
      </c>
      <c r="N2397" s="35">
        <f t="shared" si="195"/>
        <v>0</v>
      </c>
      <c r="O2397" s="35">
        <f t="shared" si="196"/>
        <v>0</v>
      </c>
      <c r="P2397" s="35">
        <f t="shared" si="197"/>
        <v>0</v>
      </c>
    </row>
    <row r="2398" spans="12:16" ht="15" hidden="1" customHeight="1">
      <c r="L2398" s="43" t="str">
        <f t="shared" si="193"/>
        <v>-</v>
      </c>
      <c r="M2398" s="35">
        <f t="shared" si="194"/>
        <v>0</v>
      </c>
      <c r="N2398" s="35">
        <f t="shared" si="195"/>
        <v>0</v>
      </c>
      <c r="O2398" s="35">
        <f t="shared" si="196"/>
        <v>0</v>
      </c>
      <c r="P2398" s="35">
        <f t="shared" si="197"/>
        <v>0</v>
      </c>
    </row>
    <row r="2399" spans="12:16" ht="15" hidden="1" customHeight="1">
      <c r="L2399" s="43" t="str">
        <f t="shared" ref="L2399:L2462" si="198">IFERROR(IF(MAX(L2398+1,Дата_получения_Займа+1)&gt;Дата_погашения_Займа,"-",MAX(L2398+1,Дата_получения_Займа+1)),"-")</f>
        <v>-</v>
      </c>
      <c r="M2399" s="35">
        <f t="shared" ref="M2399:M2462" si="199">IFERROR(VLOOKUP(L2399,$B$31:$E$59,4,FALSE),0)</f>
        <v>0</v>
      </c>
      <c r="N2399" s="35">
        <f t="shared" ref="N2399:N2462" si="200">IF(ISNUMBER(N2398),N2398-M2399,$E$20)</f>
        <v>0</v>
      </c>
      <c r="O2399" s="35">
        <f t="shared" ref="O2399:O2462" si="201">IFERROR(IF(ISNUMBER(N2398),N2398,$E$20)*IF(L2399&gt;=$J$20,$E$25,$E$24)/IF(MOD(YEAR(L2399),4),365,366)*IF(ISBLANK(L2398),L2399-$E$22,L2399-L2398),0)</f>
        <v>0</v>
      </c>
      <c r="P2399" s="35">
        <f t="shared" ref="P2399:P2462" si="202">IFERROR(IF(ISNUMBER(N2398),N2398,$E$20)*3%/IF(MOD(YEAR(L2399),4),365,366)*IF(ISBLANK(L2398),(L2399-$E$22),L2399-L2398),0)</f>
        <v>0</v>
      </c>
    </row>
    <row r="2400" spans="12:16" ht="15" hidden="1" customHeight="1">
      <c r="L2400" s="43" t="str">
        <f t="shared" si="198"/>
        <v>-</v>
      </c>
      <c r="M2400" s="35">
        <f t="shared" si="199"/>
        <v>0</v>
      </c>
      <c r="N2400" s="35">
        <f t="shared" si="200"/>
        <v>0</v>
      </c>
      <c r="O2400" s="35">
        <f t="shared" si="201"/>
        <v>0</v>
      </c>
      <c r="P2400" s="35">
        <f t="shared" si="202"/>
        <v>0</v>
      </c>
    </row>
    <row r="2401" spans="12:16" ht="15" hidden="1" customHeight="1">
      <c r="L2401" s="43" t="str">
        <f t="shared" si="198"/>
        <v>-</v>
      </c>
      <c r="M2401" s="35">
        <f t="shared" si="199"/>
        <v>0</v>
      </c>
      <c r="N2401" s="35">
        <f t="shared" si="200"/>
        <v>0</v>
      </c>
      <c r="O2401" s="35">
        <f t="shared" si="201"/>
        <v>0</v>
      </c>
      <c r="P2401" s="35">
        <f t="shared" si="202"/>
        <v>0</v>
      </c>
    </row>
    <row r="2402" spans="12:16" ht="15" hidden="1" customHeight="1">
      <c r="L2402" s="43" t="str">
        <f t="shared" si="198"/>
        <v>-</v>
      </c>
      <c r="M2402" s="35">
        <f t="shared" si="199"/>
        <v>0</v>
      </c>
      <c r="N2402" s="35">
        <f t="shared" si="200"/>
        <v>0</v>
      </c>
      <c r="O2402" s="35">
        <f t="shared" si="201"/>
        <v>0</v>
      </c>
      <c r="P2402" s="35">
        <f t="shared" si="202"/>
        <v>0</v>
      </c>
    </row>
    <row r="2403" spans="12:16" ht="15" hidden="1" customHeight="1">
      <c r="L2403" s="43" t="str">
        <f t="shared" si="198"/>
        <v>-</v>
      </c>
      <c r="M2403" s="35">
        <f t="shared" si="199"/>
        <v>0</v>
      </c>
      <c r="N2403" s="35">
        <f t="shared" si="200"/>
        <v>0</v>
      </c>
      <c r="O2403" s="35">
        <f t="shared" si="201"/>
        <v>0</v>
      </c>
      <c r="P2403" s="35">
        <f t="shared" si="202"/>
        <v>0</v>
      </c>
    </row>
    <row r="2404" spans="12:16" ht="15" hidden="1" customHeight="1">
      <c r="L2404" s="43" t="str">
        <f t="shared" si="198"/>
        <v>-</v>
      </c>
      <c r="M2404" s="35">
        <f t="shared" si="199"/>
        <v>0</v>
      </c>
      <c r="N2404" s="35">
        <f t="shared" si="200"/>
        <v>0</v>
      </c>
      <c r="O2404" s="35">
        <f t="shared" si="201"/>
        <v>0</v>
      </c>
      <c r="P2404" s="35">
        <f t="shared" si="202"/>
        <v>0</v>
      </c>
    </row>
    <row r="2405" spans="12:16" ht="15" hidden="1" customHeight="1">
      <c r="L2405" s="43" t="str">
        <f t="shared" si="198"/>
        <v>-</v>
      </c>
      <c r="M2405" s="35">
        <f t="shared" si="199"/>
        <v>0</v>
      </c>
      <c r="N2405" s="35">
        <f t="shared" si="200"/>
        <v>0</v>
      </c>
      <c r="O2405" s="35">
        <f t="shared" si="201"/>
        <v>0</v>
      </c>
      <c r="P2405" s="35">
        <f t="shared" si="202"/>
        <v>0</v>
      </c>
    </row>
    <row r="2406" spans="12:16" ht="15" hidden="1" customHeight="1">
      <c r="L2406" s="43" t="str">
        <f t="shared" si="198"/>
        <v>-</v>
      </c>
      <c r="M2406" s="35">
        <f t="shared" si="199"/>
        <v>0</v>
      </c>
      <c r="N2406" s="35">
        <f t="shared" si="200"/>
        <v>0</v>
      </c>
      <c r="O2406" s="35">
        <f t="shared" si="201"/>
        <v>0</v>
      </c>
      <c r="P2406" s="35">
        <f t="shared" si="202"/>
        <v>0</v>
      </c>
    </row>
    <row r="2407" spans="12:16" ht="15" hidden="1" customHeight="1">
      <c r="L2407" s="43" t="str">
        <f t="shared" si="198"/>
        <v>-</v>
      </c>
      <c r="M2407" s="35">
        <f t="shared" si="199"/>
        <v>0</v>
      </c>
      <c r="N2407" s="35">
        <f t="shared" si="200"/>
        <v>0</v>
      </c>
      <c r="O2407" s="35">
        <f t="shared" si="201"/>
        <v>0</v>
      </c>
      <c r="P2407" s="35">
        <f t="shared" si="202"/>
        <v>0</v>
      </c>
    </row>
    <row r="2408" spans="12:16" ht="15" hidden="1" customHeight="1">
      <c r="L2408" s="43" t="str">
        <f t="shared" si="198"/>
        <v>-</v>
      </c>
      <c r="M2408" s="35">
        <f t="shared" si="199"/>
        <v>0</v>
      </c>
      <c r="N2408" s="35">
        <f t="shared" si="200"/>
        <v>0</v>
      </c>
      <c r="O2408" s="35">
        <f t="shared" si="201"/>
        <v>0</v>
      </c>
      <c r="P2408" s="35">
        <f t="shared" si="202"/>
        <v>0</v>
      </c>
    </row>
    <row r="2409" spans="12:16" ht="15" hidden="1" customHeight="1">
      <c r="L2409" s="43" t="str">
        <f t="shared" si="198"/>
        <v>-</v>
      </c>
      <c r="M2409" s="35">
        <f t="shared" si="199"/>
        <v>0</v>
      </c>
      <c r="N2409" s="35">
        <f t="shared" si="200"/>
        <v>0</v>
      </c>
      <c r="O2409" s="35">
        <f t="shared" si="201"/>
        <v>0</v>
      </c>
      <c r="P2409" s="35">
        <f t="shared" si="202"/>
        <v>0</v>
      </c>
    </row>
    <row r="2410" spans="12:16" ht="15" hidden="1" customHeight="1">
      <c r="L2410" s="43" t="str">
        <f t="shared" si="198"/>
        <v>-</v>
      </c>
      <c r="M2410" s="35">
        <f t="shared" si="199"/>
        <v>0</v>
      </c>
      <c r="N2410" s="35">
        <f t="shared" si="200"/>
        <v>0</v>
      </c>
      <c r="O2410" s="35">
        <f t="shared" si="201"/>
        <v>0</v>
      </c>
      <c r="P2410" s="35">
        <f t="shared" si="202"/>
        <v>0</v>
      </c>
    </row>
    <row r="2411" spans="12:16" ht="15" hidden="1" customHeight="1">
      <c r="L2411" s="43" t="str">
        <f t="shared" si="198"/>
        <v>-</v>
      </c>
      <c r="M2411" s="35">
        <f t="shared" si="199"/>
        <v>0</v>
      </c>
      <c r="N2411" s="35">
        <f t="shared" si="200"/>
        <v>0</v>
      </c>
      <c r="O2411" s="35">
        <f t="shared" si="201"/>
        <v>0</v>
      </c>
      <c r="P2411" s="35">
        <f t="shared" si="202"/>
        <v>0</v>
      </c>
    </row>
    <row r="2412" spans="12:16" ht="15" hidden="1" customHeight="1">
      <c r="L2412" s="43" t="str">
        <f t="shared" si="198"/>
        <v>-</v>
      </c>
      <c r="M2412" s="35">
        <f t="shared" si="199"/>
        <v>0</v>
      </c>
      <c r="N2412" s="35">
        <f t="shared" si="200"/>
        <v>0</v>
      </c>
      <c r="O2412" s="35">
        <f t="shared" si="201"/>
        <v>0</v>
      </c>
      <c r="P2412" s="35">
        <f t="shared" si="202"/>
        <v>0</v>
      </c>
    </row>
    <row r="2413" spans="12:16" ht="15" hidden="1" customHeight="1">
      <c r="L2413" s="43" t="str">
        <f t="shared" si="198"/>
        <v>-</v>
      </c>
      <c r="M2413" s="35">
        <f t="shared" si="199"/>
        <v>0</v>
      </c>
      <c r="N2413" s="35">
        <f t="shared" si="200"/>
        <v>0</v>
      </c>
      <c r="O2413" s="35">
        <f t="shared" si="201"/>
        <v>0</v>
      </c>
      <c r="P2413" s="35">
        <f t="shared" si="202"/>
        <v>0</v>
      </c>
    </row>
    <row r="2414" spans="12:16" ht="15" hidden="1" customHeight="1">
      <c r="L2414" s="43" t="str">
        <f t="shared" si="198"/>
        <v>-</v>
      </c>
      <c r="M2414" s="35">
        <f t="shared" si="199"/>
        <v>0</v>
      </c>
      <c r="N2414" s="35">
        <f t="shared" si="200"/>
        <v>0</v>
      </c>
      <c r="O2414" s="35">
        <f t="shared" si="201"/>
        <v>0</v>
      </c>
      <c r="P2414" s="35">
        <f t="shared" si="202"/>
        <v>0</v>
      </c>
    </row>
    <row r="2415" spans="12:16" ht="15" hidden="1" customHeight="1">
      <c r="L2415" s="43" t="str">
        <f t="shared" si="198"/>
        <v>-</v>
      </c>
      <c r="M2415" s="35">
        <f t="shared" si="199"/>
        <v>0</v>
      </c>
      <c r="N2415" s="35">
        <f t="shared" si="200"/>
        <v>0</v>
      </c>
      <c r="O2415" s="35">
        <f t="shared" si="201"/>
        <v>0</v>
      </c>
      <c r="P2415" s="35">
        <f t="shared" si="202"/>
        <v>0</v>
      </c>
    </row>
    <row r="2416" spans="12:16" ht="15" hidden="1" customHeight="1">
      <c r="L2416" s="43" t="str">
        <f t="shared" si="198"/>
        <v>-</v>
      </c>
      <c r="M2416" s="35">
        <f t="shared" si="199"/>
        <v>0</v>
      </c>
      <c r="N2416" s="35">
        <f t="shared" si="200"/>
        <v>0</v>
      </c>
      <c r="O2416" s="35">
        <f t="shared" si="201"/>
        <v>0</v>
      </c>
      <c r="P2416" s="35">
        <f t="shared" si="202"/>
        <v>0</v>
      </c>
    </row>
    <row r="2417" spans="12:16" ht="15" hidden="1" customHeight="1">
      <c r="L2417" s="43" t="str">
        <f t="shared" si="198"/>
        <v>-</v>
      </c>
      <c r="M2417" s="35">
        <f t="shared" si="199"/>
        <v>0</v>
      </c>
      <c r="N2417" s="35">
        <f t="shared" si="200"/>
        <v>0</v>
      </c>
      <c r="O2417" s="35">
        <f t="shared" si="201"/>
        <v>0</v>
      </c>
      <c r="P2417" s="35">
        <f t="shared" si="202"/>
        <v>0</v>
      </c>
    </row>
    <row r="2418" spans="12:16" ht="15" hidden="1" customHeight="1">
      <c r="L2418" s="43" t="str">
        <f t="shared" si="198"/>
        <v>-</v>
      </c>
      <c r="M2418" s="35">
        <f t="shared" si="199"/>
        <v>0</v>
      </c>
      <c r="N2418" s="35">
        <f t="shared" si="200"/>
        <v>0</v>
      </c>
      <c r="O2418" s="35">
        <f t="shared" si="201"/>
        <v>0</v>
      </c>
      <c r="P2418" s="35">
        <f t="shared" si="202"/>
        <v>0</v>
      </c>
    </row>
    <row r="2419" spans="12:16" ht="15" hidden="1" customHeight="1">
      <c r="L2419" s="43" t="str">
        <f t="shared" si="198"/>
        <v>-</v>
      </c>
      <c r="M2419" s="35">
        <f t="shared" si="199"/>
        <v>0</v>
      </c>
      <c r="N2419" s="35">
        <f t="shared" si="200"/>
        <v>0</v>
      </c>
      <c r="O2419" s="35">
        <f t="shared" si="201"/>
        <v>0</v>
      </c>
      <c r="P2419" s="35">
        <f t="shared" si="202"/>
        <v>0</v>
      </c>
    </row>
    <row r="2420" spans="12:16" ht="15" hidden="1" customHeight="1">
      <c r="L2420" s="43" t="str">
        <f t="shared" si="198"/>
        <v>-</v>
      </c>
      <c r="M2420" s="35">
        <f t="shared" si="199"/>
        <v>0</v>
      </c>
      <c r="N2420" s="35">
        <f t="shared" si="200"/>
        <v>0</v>
      </c>
      <c r="O2420" s="35">
        <f t="shared" si="201"/>
        <v>0</v>
      </c>
      <c r="P2420" s="35">
        <f t="shared" si="202"/>
        <v>0</v>
      </c>
    </row>
    <row r="2421" spans="12:16" ht="15" hidden="1" customHeight="1">
      <c r="L2421" s="43" t="str">
        <f t="shared" si="198"/>
        <v>-</v>
      </c>
      <c r="M2421" s="35">
        <f t="shared" si="199"/>
        <v>0</v>
      </c>
      <c r="N2421" s="35">
        <f t="shared" si="200"/>
        <v>0</v>
      </c>
      <c r="O2421" s="35">
        <f t="shared" si="201"/>
        <v>0</v>
      </c>
      <c r="P2421" s="35">
        <f t="shared" si="202"/>
        <v>0</v>
      </c>
    </row>
    <row r="2422" spans="12:16" ht="15" hidden="1" customHeight="1">
      <c r="L2422" s="43" t="str">
        <f t="shared" si="198"/>
        <v>-</v>
      </c>
      <c r="M2422" s="35">
        <f t="shared" si="199"/>
        <v>0</v>
      </c>
      <c r="N2422" s="35">
        <f t="shared" si="200"/>
        <v>0</v>
      </c>
      <c r="O2422" s="35">
        <f t="shared" si="201"/>
        <v>0</v>
      </c>
      <c r="P2422" s="35">
        <f t="shared" si="202"/>
        <v>0</v>
      </c>
    </row>
    <row r="2423" spans="12:16" ht="15" hidden="1" customHeight="1">
      <c r="L2423" s="43" t="str">
        <f t="shared" si="198"/>
        <v>-</v>
      </c>
      <c r="M2423" s="35">
        <f t="shared" si="199"/>
        <v>0</v>
      </c>
      <c r="N2423" s="35">
        <f t="shared" si="200"/>
        <v>0</v>
      </c>
      <c r="O2423" s="35">
        <f t="shared" si="201"/>
        <v>0</v>
      </c>
      <c r="P2423" s="35">
        <f t="shared" si="202"/>
        <v>0</v>
      </c>
    </row>
    <row r="2424" spans="12:16" ht="15" hidden="1" customHeight="1">
      <c r="L2424" s="43" t="str">
        <f t="shared" si="198"/>
        <v>-</v>
      </c>
      <c r="M2424" s="35">
        <f t="shared" si="199"/>
        <v>0</v>
      </c>
      <c r="N2424" s="35">
        <f t="shared" si="200"/>
        <v>0</v>
      </c>
      <c r="O2424" s="35">
        <f t="shared" si="201"/>
        <v>0</v>
      </c>
      <c r="P2424" s="35">
        <f t="shared" si="202"/>
        <v>0</v>
      </c>
    </row>
    <row r="2425" spans="12:16" ht="15" hidden="1" customHeight="1">
      <c r="L2425" s="43" t="str">
        <f t="shared" si="198"/>
        <v>-</v>
      </c>
      <c r="M2425" s="35">
        <f t="shared" si="199"/>
        <v>0</v>
      </c>
      <c r="N2425" s="35">
        <f t="shared" si="200"/>
        <v>0</v>
      </c>
      <c r="O2425" s="35">
        <f t="shared" si="201"/>
        <v>0</v>
      </c>
      <c r="P2425" s="35">
        <f t="shared" si="202"/>
        <v>0</v>
      </c>
    </row>
    <row r="2426" spans="12:16" ht="15" hidden="1" customHeight="1">
      <c r="L2426" s="43" t="str">
        <f t="shared" si="198"/>
        <v>-</v>
      </c>
      <c r="M2426" s="35">
        <f t="shared" si="199"/>
        <v>0</v>
      </c>
      <c r="N2426" s="35">
        <f t="shared" si="200"/>
        <v>0</v>
      </c>
      <c r="O2426" s="35">
        <f t="shared" si="201"/>
        <v>0</v>
      </c>
      <c r="P2426" s="35">
        <f t="shared" si="202"/>
        <v>0</v>
      </c>
    </row>
    <row r="2427" spans="12:16" ht="15" hidden="1" customHeight="1">
      <c r="L2427" s="43" t="str">
        <f t="shared" si="198"/>
        <v>-</v>
      </c>
      <c r="M2427" s="35">
        <f t="shared" si="199"/>
        <v>0</v>
      </c>
      <c r="N2427" s="35">
        <f t="shared" si="200"/>
        <v>0</v>
      </c>
      <c r="O2427" s="35">
        <f t="shared" si="201"/>
        <v>0</v>
      </c>
      <c r="P2427" s="35">
        <f t="shared" si="202"/>
        <v>0</v>
      </c>
    </row>
    <row r="2428" spans="12:16" ht="15" hidden="1" customHeight="1">
      <c r="L2428" s="43" t="str">
        <f t="shared" si="198"/>
        <v>-</v>
      </c>
      <c r="M2428" s="35">
        <f t="shared" si="199"/>
        <v>0</v>
      </c>
      <c r="N2428" s="35">
        <f t="shared" si="200"/>
        <v>0</v>
      </c>
      <c r="O2428" s="35">
        <f t="shared" si="201"/>
        <v>0</v>
      </c>
      <c r="P2428" s="35">
        <f t="shared" si="202"/>
        <v>0</v>
      </c>
    </row>
    <row r="2429" spans="12:16" ht="15" hidden="1" customHeight="1">
      <c r="L2429" s="43" t="str">
        <f t="shared" si="198"/>
        <v>-</v>
      </c>
      <c r="M2429" s="35">
        <f t="shared" si="199"/>
        <v>0</v>
      </c>
      <c r="N2429" s="35">
        <f t="shared" si="200"/>
        <v>0</v>
      </c>
      <c r="O2429" s="35">
        <f t="shared" si="201"/>
        <v>0</v>
      </c>
      <c r="P2429" s="35">
        <f t="shared" si="202"/>
        <v>0</v>
      </c>
    </row>
    <row r="2430" spans="12:16" ht="15" hidden="1" customHeight="1">
      <c r="L2430" s="43" t="str">
        <f t="shared" si="198"/>
        <v>-</v>
      </c>
      <c r="M2430" s="35">
        <f t="shared" si="199"/>
        <v>0</v>
      </c>
      <c r="N2430" s="35">
        <f t="shared" si="200"/>
        <v>0</v>
      </c>
      <c r="O2430" s="35">
        <f t="shared" si="201"/>
        <v>0</v>
      </c>
      <c r="P2430" s="35">
        <f t="shared" si="202"/>
        <v>0</v>
      </c>
    </row>
    <row r="2431" spans="12:16" ht="15" hidden="1" customHeight="1">
      <c r="L2431" s="43" t="str">
        <f t="shared" si="198"/>
        <v>-</v>
      </c>
      <c r="M2431" s="35">
        <f t="shared" si="199"/>
        <v>0</v>
      </c>
      <c r="N2431" s="35">
        <f t="shared" si="200"/>
        <v>0</v>
      </c>
      <c r="O2431" s="35">
        <f t="shared" si="201"/>
        <v>0</v>
      </c>
      <c r="P2431" s="35">
        <f t="shared" si="202"/>
        <v>0</v>
      </c>
    </row>
    <row r="2432" spans="12:16" ht="15" hidden="1" customHeight="1">
      <c r="L2432" s="43" t="str">
        <f t="shared" si="198"/>
        <v>-</v>
      </c>
      <c r="M2432" s="35">
        <f t="shared" si="199"/>
        <v>0</v>
      </c>
      <c r="N2432" s="35">
        <f t="shared" si="200"/>
        <v>0</v>
      </c>
      <c r="O2432" s="35">
        <f t="shared" si="201"/>
        <v>0</v>
      </c>
      <c r="P2432" s="35">
        <f t="shared" si="202"/>
        <v>0</v>
      </c>
    </row>
    <row r="2433" spans="12:16" ht="15" hidden="1" customHeight="1">
      <c r="L2433" s="43" t="str">
        <f t="shared" si="198"/>
        <v>-</v>
      </c>
      <c r="M2433" s="35">
        <f t="shared" si="199"/>
        <v>0</v>
      </c>
      <c r="N2433" s="35">
        <f t="shared" si="200"/>
        <v>0</v>
      </c>
      <c r="O2433" s="35">
        <f t="shared" si="201"/>
        <v>0</v>
      </c>
      <c r="P2433" s="35">
        <f t="shared" si="202"/>
        <v>0</v>
      </c>
    </row>
    <row r="2434" spans="12:16" ht="15" hidden="1" customHeight="1">
      <c r="L2434" s="43" t="str">
        <f t="shared" si="198"/>
        <v>-</v>
      </c>
      <c r="M2434" s="35">
        <f t="shared" si="199"/>
        <v>0</v>
      </c>
      <c r="N2434" s="35">
        <f t="shared" si="200"/>
        <v>0</v>
      </c>
      <c r="O2434" s="35">
        <f t="shared" si="201"/>
        <v>0</v>
      </c>
      <c r="P2434" s="35">
        <f t="shared" si="202"/>
        <v>0</v>
      </c>
    </row>
    <row r="2435" spans="12:16" ht="15" hidden="1" customHeight="1">
      <c r="L2435" s="43" t="str">
        <f t="shared" si="198"/>
        <v>-</v>
      </c>
      <c r="M2435" s="35">
        <f t="shared" si="199"/>
        <v>0</v>
      </c>
      <c r="N2435" s="35">
        <f t="shared" si="200"/>
        <v>0</v>
      </c>
      <c r="O2435" s="35">
        <f t="shared" si="201"/>
        <v>0</v>
      </c>
      <c r="P2435" s="35">
        <f t="shared" si="202"/>
        <v>0</v>
      </c>
    </row>
    <row r="2436" spans="12:16" ht="15" hidden="1" customHeight="1">
      <c r="L2436" s="43" t="str">
        <f t="shared" si="198"/>
        <v>-</v>
      </c>
      <c r="M2436" s="35">
        <f t="shared" si="199"/>
        <v>0</v>
      </c>
      <c r="N2436" s="35">
        <f t="shared" si="200"/>
        <v>0</v>
      </c>
      <c r="O2436" s="35">
        <f t="shared" si="201"/>
        <v>0</v>
      </c>
      <c r="P2436" s="35">
        <f t="shared" si="202"/>
        <v>0</v>
      </c>
    </row>
    <row r="2437" spans="12:16" ht="15" hidden="1" customHeight="1">
      <c r="L2437" s="43" t="str">
        <f t="shared" si="198"/>
        <v>-</v>
      </c>
      <c r="M2437" s="35">
        <f t="shared" si="199"/>
        <v>0</v>
      </c>
      <c r="N2437" s="35">
        <f t="shared" si="200"/>
        <v>0</v>
      </c>
      <c r="O2437" s="35">
        <f t="shared" si="201"/>
        <v>0</v>
      </c>
      <c r="P2437" s="35">
        <f t="shared" si="202"/>
        <v>0</v>
      </c>
    </row>
    <row r="2438" spans="12:16" ht="15" hidden="1" customHeight="1">
      <c r="L2438" s="43" t="str">
        <f t="shared" si="198"/>
        <v>-</v>
      </c>
      <c r="M2438" s="35">
        <f t="shared" si="199"/>
        <v>0</v>
      </c>
      <c r="N2438" s="35">
        <f t="shared" si="200"/>
        <v>0</v>
      </c>
      <c r="O2438" s="35">
        <f t="shared" si="201"/>
        <v>0</v>
      </c>
      <c r="P2438" s="35">
        <f t="shared" si="202"/>
        <v>0</v>
      </c>
    </row>
    <row r="2439" spans="12:16" ht="15" hidden="1" customHeight="1">
      <c r="L2439" s="43" t="str">
        <f t="shared" si="198"/>
        <v>-</v>
      </c>
      <c r="M2439" s="35">
        <f t="shared" si="199"/>
        <v>0</v>
      </c>
      <c r="N2439" s="35">
        <f t="shared" si="200"/>
        <v>0</v>
      </c>
      <c r="O2439" s="35">
        <f t="shared" si="201"/>
        <v>0</v>
      </c>
      <c r="P2439" s="35">
        <f t="shared" si="202"/>
        <v>0</v>
      </c>
    </row>
    <row r="2440" spans="12:16" ht="15" hidden="1" customHeight="1">
      <c r="L2440" s="43" t="str">
        <f t="shared" si="198"/>
        <v>-</v>
      </c>
      <c r="M2440" s="35">
        <f t="shared" si="199"/>
        <v>0</v>
      </c>
      <c r="N2440" s="35">
        <f t="shared" si="200"/>
        <v>0</v>
      </c>
      <c r="O2440" s="35">
        <f t="shared" si="201"/>
        <v>0</v>
      </c>
      <c r="P2440" s="35">
        <f t="shared" si="202"/>
        <v>0</v>
      </c>
    </row>
    <row r="2441" spans="12:16" ht="15" hidden="1" customHeight="1">
      <c r="L2441" s="43" t="str">
        <f t="shared" si="198"/>
        <v>-</v>
      </c>
      <c r="M2441" s="35">
        <f t="shared" si="199"/>
        <v>0</v>
      </c>
      <c r="N2441" s="35">
        <f t="shared" si="200"/>
        <v>0</v>
      </c>
      <c r="O2441" s="35">
        <f t="shared" si="201"/>
        <v>0</v>
      </c>
      <c r="P2441" s="35">
        <f t="shared" si="202"/>
        <v>0</v>
      </c>
    </row>
    <row r="2442" spans="12:16" ht="15" hidden="1" customHeight="1">
      <c r="L2442" s="43" t="str">
        <f t="shared" si="198"/>
        <v>-</v>
      </c>
      <c r="M2442" s="35">
        <f t="shared" si="199"/>
        <v>0</v>
      </c>
      <c r="N2442" s="35">
        <f t="shared" si="200"/>
        <v>0</v>
      </c>
      <c r="O2442" s="35">
        <f t="shared" si="201"/>
        <v>0</v>
      </c>
      <c r="P2442" s="35">
        <f t="shared" si="202"/>
        <v>0</v>
      </c>
    </row>
    <row r="2443" spans="12:16" ht="15" hidden="1" customHeight="1">
      <c r="L2443" s="43" t="str">
        <f t="shared" si="198"/>
        <v>-</v>
      </c>
      <c r="M2443" s="35">
        <f t="shared" si="199"/>
        <v>0</v>
      </c>
      <c r="N2443" s="35">
        <f t="shared" si="200"/>
        <v>0</v>
      </c>
      <c r="O2443" s="35">
        <f t="shared" si="201"/>
        <v>0</v>
      </c>
      <c r="P2443" s="35">
        <f t="shared" si="202"/>
        <v>0</v>
      </c>
    </row>
    <row r="2444" spans="12:16" ht="15" hidden="1" customHeight="1">
      <c r="L2444" s="43" t="str">
        <f t="shared" si="198"/>
        <v>-</v>
      </c>
      <c r="M2444" s="35">
        <f t="shared" si="199"/>
        <v>0</v>
      </c>
      <c r="N2444" s="35">
        <f t="shared" si="200"/>
        <v>0</v>
      </c>
      <c r="O2444" s="35">
        <f t="shared" si="201"/>
        <v>0</v>
      </c>
      <c r="P2444" s="35">
        <f t="shared" si="202"/>
        <v>0</v>
      </c>
    </row>
    <row r="2445" spans="12:16" ht="15" hidden="1" customHeight="1">
      <c r="L2445" s="43" t="str">
        <f t="shared" si="198"/>
        <v>-</v>
      </c>
      <c r="M2445" s="35">
        <f t="shared" si="199"/>
        <v>0</v>
      </c>
      <c r="N2445" s="35">
        <f t="shared" si="200"/>
        <v>0</v>
      </c>
      <c r="O2445" s="35">
        <f t="shared" si="201"/>
        <v>0</v>
      </c>
      <c r="P2445" s="35">
        <f t="shared" si="202"/>
        <v>0</v>
      </c>
    </row>
    <row r="2446" spans="12:16" ht="15" hidden="1" customHeight="1">
      <c r="L2446" s="43" t="str">
        <f t="shared" si="198"/>
        <v>-</v>
      </c>
      <c r="M2446" s="35">
        <f t="shared" si="199"/>
        <v>0</v>
      </c>
      <c r="N2446" s="35">
        <f t="shared" si="200"/>
        <v>0</v>
      </c>
      <c r="O2446" s="35">
        <f t="shared" si="201"/>
        <v>0</v>
      </c>
      <c r="P2446" s="35">
        <f t="shared" si="202"/>
        <v>0</v>
      </c>
    </row>
    <row r="2447" spans="12:16" ht="15" hidden="1" customHeight="1">
      <c r="L2447" s="43" t="str">
        <f t="shared" si="198"/>
        <v>-</v>
      </c>
      <c r="M2447" s="35">
        <f t="shared" si="199"/>
        <v>0</v>
      </c>
      <c r="N2447" s="35">
        <f t="shared" si="200"/>
        <v>0</v>
      </c>
      <c r="O2447" s="35">
        <f t="shared" si="201"/>
        <v>0</v>
      </c>
      <c r="P2447" s="35">
        <f t="shared" si="202"/>
        <v>0</v>
      </c>
    </row>
    <row r="2448" spans="12:16" ht="15" hidden="1" customHeight="1">
      <c r="L2448" s="43" t="str">
        <f t="shared" si="198"/>
        <v>-</v>
      </c>
      <c r="M2448" s="35">
        <f t="shared" si="199"/>
        <v>0</v>
      </c>
      <c r="N2448" s="35">
        <f t="shared" si="200"/>
        <v>0</v>
      </c>
      <c r="O2448" s="35">
        <f t="shared" si="201"/>
        <v>0</v>
      </c>
      <c r="P2448" s="35">
        <f t="shared" si="202"/>
        <v>0</v>
      </c>
    </row>
    <row r="2449" spans="12:16" ht="15" hidden="1" customHeight="1">
      <c r="L2449" s="43" t="str">
        <f t="shared" si="198"/>
        <v>-</v>
      </c>
      <c r="M2449" s="35">
        <f t="shared" si="199"/>
        <v>0</v>
      </c>
      <c r="N2449" s="35">
        <f t="shared" si="200"/>
        <v>0</v>
      </c>
      <c r="O2449" s="35">
        <f t="shared" si="201"/>
        <v>0</v>
      </c>
      <c r="P2449" s="35">
        <f t="shared" si="202"/>
        <v>0</v>
      </c>
    </row>
    <row r="2450" spans="12:16" ht="15" hidden="1" customHeight="1">
      <c r="L2450" s="43" t="str">
        <f t="shared" si="198"/>
        <v>-</v>
      </c>
      <c r="M2450" s="35">
        <f t="shared" si="199"/>
        <v>0</v>
      </c>
      <c r="N2450" s="35">
        <f t="shared" si="200"/>
        <v>0</v>
      </c>
      <c r="O2450" s="35">
        <f t="shared" si="201"/>
        <v>0</v>
      </c>
      <c r="P2450" s="35">
        <f t="shared" si="202"/>
        <v>0</v>
      </c>
    </row>
    <row r="2451" spans="12:16" ht="15" hidden="1" customHeight="1">
      <c r="L2451" s="43" t="str">
        <f t="shared" si="198"/>
        <v>-</v>
      </c>
      <c r="M2451" s="35">
        <f t="shared" si="199"/>
        <v>0</v>
      </c>
      <c r="N2451" s="35">
        <f t="shared" si="200"/>
        <v>0</v>
      </c>
      <c r="O2451" s="35">
        <f t="shared" si="201"/>
        <v>0</v>
      </c>
      <c r="P2451" s="35">
        <f t="shared" si="202"/>
        <v>0</v>
      </c>
    </row>
    <row r="2452" spans="12:16" ht="15" hidden="1" customHeight="1">
      <c r="L2452" s="43" t="str">
        <f t="shared" si="198"/>
        <v>-</v>
      </c>
      <c r="M2452" s="35">
        <f t="shared" si="199"/>
        <v>0</v>
      </c>
      <c r="N2452" s="35">
        <f t="shared" si="200"/>
        <v>0</v>
      </c>
      <c r="O2452" s="35">
        <f t="shared" si="201"/>
        <v>0</v>
      </c>
      <c r="P2452" s="35">
        <f t="shared" si="202"/>
        <v>0</v>
      </c>
    </row>
    <row r="2453" spans="12:16" ht="15" hidden="1" customHeight="1">
      <c r="L2453" s="43" t="str">
        <f t="shared" si="198"/>
        <v>-</v>
      </c>
      <c r="M2453" s="35">
        <f t="shared" si="199"/>
        <v>0</v>
      </c>
      <c r="N2453" s="35">
        <f t="shared" si="200"/>
        <v>0</v>
      </c>
      <c r="O2453" s="35">
        <f t="shared" si="201"/>
        <v>0</v>
      </c>
      <c r="P2453" s="35">
        <f t="shared" si="202"/>
        <v>0</v>
      </c>
    </row>
    <row r="2454" spans="12:16" ht="15" hidden="1" customHeight="1">
      <c r="L2454" s="43" t="str">
        <f t="shared" si="198"/>
        <v>-</v>
      </c>
      <c r="M2454" s="35">
        <f t="shared" si="199"/>
        <v>0</v>
      </c>
      <c r="N2454" s="35">
        <f t="shared" si="200"/>
        <v>0</v>
      </c>
      <c r="O2454" s="35">
        <f t="shared" si="201"/>
        <v>0</v>
      </c>
      <c r="P2454" s="35">
        <f t="shared" si="202"/>
        <v>0</v>
      </c>
    </row>
    <row r="2455" spans="12:16" ht="15" hidden="1" customHeight="1">
      <c r="L2455" s="43" t="str">
        <f t="shared" si="198"/>
        <v>-</v>
      </c>
      <c r="M2455" s="35">
        <f t="shared" si="199"/>
        <v>0</v>
      </c>
      <c r="N2455" s="35">
        <f t="shared" si="200"/>
        <v>0</v>
      </c>
      <c r="O2455" s="35">
        <f t="shared" si="201"/>
        <v>0</v>
      </c>
      <c r="P2455" s="35">
        <f t="shared" si="202"/>
        <v>0</v>
      </c>
    </row>
    <row r="2456" spans="12:16" ht="15" hidden="1" customHeight="1">
      <c r="L2456" s="43" t="str">
        <f t="shared" si="198"/>
        <v>-</v>
      </c>
      <c r="M2456" s="35">
        <f t="shared" si="199"/>
        <v>0</v>
      </c>
      <c r="N2456" s="35">
        <f t="shared" si="200"/>
        <v>0</v>
      </c>
      <c r="O2456" s="35">
        <f t="shared" si="201"/>
        <v>0</v>
      </c>
      <c r="P2456" s="35">
        <f t="shared" si="202"/>
        <v>0</v>
      </c>
    </row>
    <row r="2457" spans="12:16" ht="15" hidden="1" customHeight="1">
      <c r="L2457" s="43" t="str">
        <f t="shared" si="198"/>
        <v>-</v>
      </c>
      <c r="M2457" s="35">
        <f t="shared" si="199"/>
        <v>0</v>
      </c>
      <c r="N2457" s="35">
        <f t="shared" si="200"/>
        <v>0</v>
      </c>
      <c r="O2457" s="35">
        <f t="shared" si="201"/>
        <v>0</v>
      </c>
      <c r="P2457" s="35">
        <f t="shared" si="202"/>
        <v>0</v>
      </c>
    </row>
    <row r="2458" spans="12:16" ht="15" hidden="1" customHeight="1">
      <c r="L2458" s="43" t="str">
        <f t="shared" si="198"/>
        <v>-</v>
      </c>
      <c r="M2458" s="35">
        <f t="shared" si="199"/>
        <v>0</v>
      </c>
      <c r="N2458" s="35">
        <f t="shared" si="200"/>
        <v>0</v>
      </c>
      <c r="O2458" s="35">
        <f t="shared" si="201"/>
        <v>0</v>
      </c>
      <c r="P2458" s="35">
        <f t="shared" si="202"/>
        <v>0</v>
      </c>
    </row>
    <row r="2459" spans="12:16" ht="15" hidden="1" customHeight="1">
      <c r="L2459" s="43" t="str">
        <f t="shared" si="198"/>
        <v>-</v>
      </c>
      <c r="M2459" s="35">
        <f t="shared" si="199"/>
        <v>0</v>
      </c>
      <c r="N2459" s="35">
        <f t="shared" si="200"/>
        <v>0</v>
      </c>
      <c r="O2459" s="35">
        <f t="shared" si="201"/>
        <v>0</v>
      </c>
      <c r="P2459" s="35">
        <f t="shared" si="202"/>
        <v>0</v>
      </c>
    </row>
    <row r="2460" spans="12:16" ht="15" hidden="1" customHeight="1">
      <c r="L2460" s="43" t="str">
        <f t="shared" si="198"/>
        <v>-</v>
      </c>
      <c r="M2460" s="35">
        <f t="shared" si="199"/>
        <v>0</v>
      </c>
      <c r="N2460" s="35">
        <f t="shared" si="200"/>
        <v>0</v>
      </c>
      <c r="O2460" s="35">
        <f t="shared" si="201"/>
        <v>0</v>
      </c>
      <c r="P2460" s="35">
        <f t="shared" si="202"/>
        <v>0</v>
      </c>
    </row>
    <row r="2461" spans="12:16" ht="15" hidden="1" customHeight="1">
      <c r="L2461" s="43" t="str">
        <f t="shared" si="198"/>
        <v>-</v>
      </c>
      <c r="M2461" s="35">
        <f t="shared" si="199"/>
        <v>0</v>
      </c>
      <c r="N2461" s="35">
        <f t="shared" si="200"/>
        <v>0</v>
      </c>
      <c r="O2461" s="35">
        <f t="shared" si="201"/>
        <v>0</v>
      </c>
      <c r="P2461" s="35">
        <f t="shared" si="202"/>
        <v>0</v>
      </c>
    </row>
    <row r="2462" spans="12:16" ht="15" hidden="1" customHeight="1">
      <c r="L2462" s="43" t="str">
        <f t="shared" si="198"/>
        <v>-</v>
      </c>
      <c r="M2462" s="35">
        <f t="shared" si="199"/>
        <v>0</v>
      </c>
      <c r="N2462" s="35">
        <f t="shared" si="200"/>
        <v>0</v>
      </c>
      <c r="O2462" s="35">
        <f t="shared" si="201"/>
        <v>0</v>
      </c>
      <c r="P2462" s="35">
        <f t="shared" si="202"/>
        <v>0</v>
      </c>
    </row>
    <row r="2463" spans="12:16" ht="15" hidden="1" customHeight="1">
      <c r="L2463" s="43" t="str">
        <f t="shared" ref="L2463:L2526" si="203">IFERROR(IF(MAX(L2462+1,Дата_получения_Займа+1)&gt;Дата_погашения_Займа,"-",MAX(L2462+1,Дата_получения_Займа+1)),"-")</f>
        <v>-</v>
      </c>
      <c r="M2463" s="35">
        <f t="shared" ref="M2463:M2526" si="204">IFERROR(VLOOKUP(L2463,$B$31:$E$59,4,FALSE),0)</f>
        <v>0</v>
      </c>
      <c r="N2463" s="35">
        <f t="shared" ref="N2463:N2526" si="205">IF(ISNUMBER(N2462),N2462-M2463,$E$20)</f>
        <v>0</v>
      </c>
      <c r="O2463" s="35">
        <f t="shared" ref="O2463:O2526" si="206">IFERROR(IF(ISNUMBER(N2462),N2462,$E$20)*IF(L2463&gt;=$J$20,$E$25,$E$24)/IF(MOD(YEAR(L2463),4),365,366)*IF(ISBLANK(L2462),L2463-$E$22,L2463-L2462),0)</f>
        <v>0</v>
      </c>
      <c r="P2463" s="35">
        <f t="shared" ref="P2463:P2526" si="207">IFERROR(IF(ISNUMBER(N2462),N2462,$E$20)*3%/IF(MOD(YEAR(L2463),4),365,366)*IF(ISBLANK(L2462),(L2463-$E$22),L2463-L2462),0)</f>
        <v>0</v>
      </c>
    </row>
    <row r="2464" spans="12:16" ht="15" hidden="1" customHeight="1">
      <c r="L2464" s="43" t="str">
        <f t="shared" si="203"/>
        <v>-</v>
      </c>
      <c r="M2464" s="35">
        <f t="shared" si="204"/>
        <v>0</v>
      </c>
      <c r="N2464" s="35">
        <f t="shared" si="205"/>
        <v>0</v>
      </c>
      <c r="O2464" s="35">
        <f t="shared" si="206"/>
        <v>0</v>
      </c>
      <c r="P2464" s="35">
        <f t="shared" si="207"/>
        <v>0</v>
      </c>
    </row>
    <row r="2465" spans="12:16" ht="15" hidden="1" customHeight="1">
      <c r="L2465" s="43" t="str">
        <f t="shared" si="203"/>
        <v>-</v>
      </c>
      <c r="M2465" s="35">
        <f t="shared" si="204"/>
        <v>0</v>
      </c>
      <c r="N2465" s="35">
        <f t="shared" si="205"/>
        <v>0</v>
      </c>
      <c r="O2465" s="35">
        <f t="shared" si="206"/>
        <v>0</v>
      </c>
      <c r="P2465" s="35">
        <f t="shared" si="207"/>
        <v>0</v>
      </c>
    </row>
    <row r="2466" spans="12:16" ht="15" hidden="1" customHeight="1">
      <c r="L2466" s="43" t="str">
        <f t="shared" si="203"/>
        <v>-</v>
      </c>
      <c r="M2466" s="35">
        <f t="shared" si="204"/>
        <v>0</v>
      </c>
      <c r="N2466" s="35">
        <f t="shared" si="205"/>
        <v>0</v>
      </c>
      <c r="O2466" s="35">
        <f t="shared" si="206"/>
        <v>0</v>
      </c>
      <c r="P2466" s="35">
        <f t="shared" si="207"/>
        <v>0</v>
      </c>
    </row>
    <row r="2467" spans="12:16" ht="15" hidden="1" customHeight="1">
      <c r="L2467" s="43" t="str">
        <f t="shared" si="203"/>
        <v>-</v>
      </c>
      <c r="M2467" s="35">
        <f t="shared" si="204"/>
        <v>0</v>
      </c>
      <c r="N2467" s="35">
        <f t="shared" si="205"/>
        <v>0</v>
      </c>
      <c r="O2467" s="35">
        <f t="shared" si="206"/>
        <v>0</v>
      </c>
      <c r="P2467" s="35">
        <f t="shared" si="207"/>
        <v>0</v>
      </c>
    </row>
    <row r="2468" spans="12:16" ht="15" hidden="1" customHeight="1">
      <c r="L2468" s="43" t="str">
        <f t="shared" si="203"/>
        <v>-</v>
      </c>
      <c r="M2468" s="35">
        <f t="shared" si="204"/>
        <v>0</v>
      </c>
      <c r="N2468" s="35">
        <f t="shared" si="205"/>
        <v>0</v>
      </c>
      <c r="O2468" s="35">
        <f t="shared" si="206"/>
        <v>0</v>
      </c>
      <c r="P2468" s="35">
        <f t="shared" si="207"/>
        <v>0</v>
      </c>
    </row>
    <row r="2469" spans="12:16" ht="15" hidden="1" customHeight="1">
      <c r="L2469" s="43" t="str">
        <f t="shared" si="203"/>
        <v>-</v>
      </c>
      <c r="M2469" s="35">
        <f t="shared" si="204"/>
        <v>0</v>
      </c>
      <c r="N2469" s="35">
        <f t="shared" si="205"/>
        <v>0</v>
      </c>
      <c r="O2469" s="35">
        <f t="shared" si="206"/>
        <v>0</v>
      </c>
      <c r="P2469" s="35">
        <f t="shared" si="207"/>
        <v>0</v>
      </c>
    </row>
    <row r="2470" spans="12:16" ht="15" hidden="1" customHeight="1">
      <c r="L2470" s="43" t="str">
        <f t="shared" si="203"/>
        <v>-</v>
      </c>
      <c r="M2470" s="35">
        <f t="shared" si="204"/>
        <v>0</v>
      </c>
      <c r="N2470" s="35">
        <f t="shared" si="205"/>
        <v>0</v>
      </c>
      <c r="O2470" s="35">
        <f t="shared" si="206"/>
        <v>0</v>
      </c>
      <c r="P2470" s="35">
        <f t="shared" si="207"/>
        <v>0</v>
      </c>
    </row>
    <row r="2471" spans="12:16" ht="15" hidden="1" customHeight="1">
      <c r="L2471" s="43" t="str">
        <f t="shared" si="203"/>
        <v>-</v>
      </c>
      <c r="M2471" s="35">
        <f t="shared" si="204"/>
        <v>0</v>
      </c>
      <c r="N2471" s="35">
        <f t="shared" si="205"/>
        <v>0</v>
      </c>
      <c r="O2471" s="35">
        <f t="shared" si="206"/>
        <v>0</v>
      </c>
      <c r="P2471" s="35">
        <f t="shared" si="207"/>
        <v>0</v>
      </c>
    </row>
    <row r="2472" spans="12:16" ht="15" hidden="1" customHeight="1">
      <c r="L2472" s="43" t="str">
        <f t="shared" si="203"/>
        <v>-</v>
      </c>
      <c r="M2472" s="35">
        <f t="shared" si="204"/>
        <v>0</v>
      </c>
      <c r="N2472" s="35">
        <f t="shared" si="205"/>
        <v>0</v>
      </c>
      <c r="O2472" s="35">
        <f t="shared" si="206"/>
        <v>0</v>
      </c>
      <c r="P2472" s="35">
        <f t="shared" si="207"/>
        <v>0</v>
      </c>
    </row>
    <row r="2473" spans="12:16" ht="15" hidden="1" customHeight="1">
      <c r="L2473" s="43" t="str">
        <f t="shared" si="203"/>
        <v>-</v>
      </c>
      <c r="M2473" s="35">
        <f t="shared" si="204"/>
        <v>0</v>
      </c>
      <c r="N2473" s="35">
        <f t="shared" si="205"/>
        <v>0</v>
      </c>
      <c r="O2473" s="35">
        <f t="shared" si="206"/>
        <v>0</v>
      </c>
      <c r="P2473" s="35">
        <f t="shared" si="207"/>
        <v>0</v>
      </c>
    </row>
    <row r="2474" spans="12:16" ht="15" hidden="1" customHeight="1">
      <c r="L2474" s="43" t="str">
        <f t="shared" si="203"/>
        <v>-</v>
      </c>
      <c r="M2474" s="35">
        <f t="shared" si="204"/>
        <v>0</v>
      </c>
      <c r="N2474" s="35">
        <f t="shared" si="205"/>
        <v>0</v>
      </c>
      <c r="O2474" s="35">
        <f t="shared" si="206"/>
        <v>0</v>
      </c>
      <c r="P2474" s="35">
        <f t="shared" si="207"/>
        <v>0</v>
      </c>
    </row>
    <row r="2475" spans="12:16" ht="15" hidden="1" customHeight="1">
      <c r="L2475" s="43" t="str">
        <f t="shared" si="203"/>
        <v>-</v>
      </c>
      <c r="M2475" s="35">
        <f t="shared" si="204"/>
        <v>0</v>
      </c>
      <c r="N2475" s="35">
        <f t="shared" si="205"/>
        <v>0</v>
      </c>
      <c r="O2475" s="35">
        <f t="shared" si="206"/>
        <v>0</v>
      </c>
      <c r="P2475" s="35">
        <f t="shared" si="207"/>
        <v>0</v>
      </c>
    </row>
    <row r="2476" spans="12:16" ht="15" hidden="1" customHeight="1">
      <c r="L2476" s="43" t="str">
        <f t="shared" si="203"/>
        <v>-</v>
      </c>
      <c r="M2476" s="35">
        <f t="shared" si="204"/>
        <v>0</v>
      </c>
      <c r="N2476" s="35">
        <f t="shared" si="205"/>
        <v>0</v>
      </c>
      <c r="O2476" s="35">
        <f t="shared" si="206"/>
        <v>0</v>
      </c>
      <c r="P2476" s="35">
        <f t="shared" si="207"/>
        <v>0</v>
      </c>
    </row>
    <row r="2477" spans="12:16" ht="15" hidden="1" customHeight="1">
      <c r="L2477" s="43" t="str">
        <f t="shared" si="203"/>
        <v>-</v>
      </c>
      <c r="M2477" s="35">
        <f t="shared" si="204"/>
        <v>0</v>
      </c>
      <c r="N2477" s="35">
        <f t="shared" si="205"/>
        <v>0</v>
      </c>
      <c r="O2477" s="35">
        <f t="shared" si="206"/>
        <v>0</v>
      </c>
      <c r="P2477" s="35">
        <f t="shared" si="207"/>
        <v>0</v>
      </c>
    </row>
    <row r="2478" spans="12:16" ht="15" hidden="1" customHeight="1">
      <c r="L2478" s="43" t="str">
        <f t="shared" si="203"/>
        <v>-</v>
      </c>
      <c r="M2478" s="35">
        <f t="shared" si="204"/>
        <v>0</v>
      </c>
      <c r="N2478" s="35">
        <f t="shared" si="205"/>
        <v>0</v>
      </c>
      <c r="O2478" s="35">
        <f t="shared" si="206"/>
        <v>0</v>
      </c>
      <c r="P2478" s="35">
        <f t="shared" si="207"/>
        <v>0</v>
      </c>
    </row>
    <row r="2479" spans="12:16" ht="15" hidden="1" customHeight="1">
      <c r="L2479" s="43" t="str">
        <f t="shared" si="203"/>
        <v>-</v>
      </c>
      <c r="M2479" s="35">
        <f t="shared" si="204"/>
        <v>0</v>
      </c>
      <c r="N2479" s="35">
        <f t="shared" si="205"/>
        <v>0</v>
      </c>
      <c r="O2479" s="35">
        <f t="shared" si="206"/>
        <v>0</v>
      </c>
      <c r="P2479" s="35">
        <f t="shared" si="207"/>
        <v>0</v>
      </c>
    </row>
    <row r="2480" spans="12:16" ht="15" hidden="1" customHeight="1">
      <c r="L2480" s="43" t="str">
        <f t="shared" si="203"/>
        <v>-</v>
      </c>
      <c r="M2480" s="35">
        <f t="shared" si="204"/>
        <v>0</v>
      </c>
      <c r="N2480" s="35">
        <f t="shared" si="205"/>
        <v>0</v>
      </c>
      <c r="O2480" s="35">
        <f t="shared" si="206"/>
        <v>0</v>
      </c>
      <c r="P2480" s="35">
        <f t="shared" si="207"/>
        <v>0</v>
      </c>
    </row>
    <row r="2481" spans="12:16" ht="15" hidden="1" customHeight="1">
      <c r="L2481" s="43" t="str">
        <f t="shared" si="203"/>
        <v>-</v>
      </c>
      <c r="M2481" s="35">
        <f t="shared" si="204"/>
        <v>0</v>
      </c>
      <c r="N2481" s="35">
        <f t="shared" si="205"/>
        <v>0</v>
      </c>
      <c r="O2481" s="35">
        <f t="shared" si="206"/>
        <v>0</v>
      </c>
      <c r="P2481" s="35">
        <f t="shared" si="207"/>
        <v>0</v>
      </c>
    </row>
    <row r="2482" spans="12:16" ht="15" hidden="1" customHeight="1">
      <c r="L2482" s="43" t="str">
        <f t="shared" si="203"/>
        <v>-</v>
      </c>
      <c r="M2482" s="35">
        <f t="shared" si="204"/>
        <v>0</v>
      </c>
      <c r="N2482" s="35">
        <f t="shared" si="205"/>
        <v>0</v>
      </c>
      <c r="O2482" s="35">
        <f t="shared" si="206"/>
        <v>0</v>
      </c>
      <c r="P2482" s="35">
        <f t="shared" si="207"/>
        <v>0</v>
      </c>
    </row>
    <row r="2483" spans="12:16" ht="15" hidden="1" customHeight="1">
      <c r="L2483" s="43" t="str">
        <f t="shared" si="203"/>
        <v>-</v>
      </c>
      <c r="M2483" s="35">
        <f t="shared" si="204"/>
        <v>0</v>
      </c>
      <c r="N2483" s="35">
        <f t="shared" si="205"/>
        <v>0</v>
      </c>
      <c r="O2483" s="35">
        <f t="shared" si="206"/>
        <v>0</v>
      </c>
      <c r="P2483" s="35">
        <f t="shared" si="207"/>
        <v>0</v>
      </c>
    </row>
    <row r="2484" spans="12:16" ht="15" hidden="1" customHeight="1">
      <c r="L2484" s="43" t="str">
        <f t="shared" si="203"/>
        <v>-</v>
      </c>
      <c r="M2484" s="35">
        <f t="shared" si="204"/>
        <v>0</v>
      </c>
      <c r="N2484" s="35">
        <f t="shared" si="205"/>
        <v>0</v>
      </c>
      <c r="O2484" s="35">
        <f t="shared" si="206"/>
        <v>0</v>
      </c>
      <c r="P2484" s="35">
        <f t="shared" si="207"/>
        <v>0</v>
      </c>
    </row>
    <row r="2485" spans="12:16" ht="15" hidden="1" customHeight="1">
      <c r="L2485" s="43" t="str">
        <f t="shared" si="203"/>
        <v>-</v>
      </c>
      <c r="M2485" s="35">
        <f t="shared" si="204"/>
        <v>0</v>
      </c>
      <c r="N2485" s="35">
        <f t="shared" si="205"/>
        <v>0</v>
      </c>
      <c r="O2485" s="35">
        <f t="shared" si="206"/>
        <v>0</v>
      </c>
      <c r="P2485" s="35">
        <f t="shared" si="207"/>
        <v>0</v>
      </c>
    </row>
    <row r="2486" spans="12:16" ht="15" hidden="1" customHeight="1">
      <c r="L2486" s="43" t="str">
        <f t="shared" si="203"/>
        <v>-</v>
      </c>
      <c r="M2486" s="35">
        <f t="shared" si="204"/>
        <v>0</v>
      </c>
      <c r="N2486" s="35">
        <f t="shared" si="205"/>
        <v>0</v>
      </c>
      <c r="O2486" s="35">
        <f t="shared" si="206"/>
        <v>0</v>
      </c>
      <c r="P2486" s="35">
        <f t="shared" si="207"/>
        <v>0</v>
      </c>
    </row>
    <row r="2487" spans="12:16" ht="15" hidden="1" customHeight="1">
      <c r="L2487" s="43" t="str">
        <f t="shared" si="203"/>
        <v>-</v>
      </c>
      <c r="M2487" s="35">
        <f t="shared" si="204"/>
        <v>0</v>
      </c>
      <c r="N2487" s="35">
        <f t="shared" si="205"/>
        <v>0</v>
      </c>
      <c r="O2487" s="35">
        <f t="shared" si="206"/>
        <v>0</v>
      </c>
      <c r="P2487" s="35">
        <f t="shared" si="207"/>
        <v>0</v>
      </c>
    </row>
    <row r="2488" spans="12:16" ht="15" hidden="1" customHeight="1">
      <c r="L2488" s="43" t="str">
        <f t="shared" si="203"/>
        <v>-</v>
      </c>
      <c r="M2488" s="35">
        <f t="shared" si="204"/>
        <v>0</v>
      </c>
      <c r="N2488" s="35">
        <f t="shared" si="205"/>
        <v>0</v>
      </c>
      <c r="O2488" s="35">
        <f t="shared" si="206"/>
        <v>0</v>
      </c>
      <c r="P2488" s="35">
        <f t="shared" si="207"/>
        <v>0</v>
      </c>
    </row>
    <row r="2489" spans="12:16" ht="15" hidden="1" customHeight="1">
      <c r="L2489" s="43" t="str">
        <f t="shared" si="203"/>
        <v>-</v>
      </c>
      <c r="M2489" s="35">
        <f t="shared" si="204"/>
        <v>0</v>
      </c>
      <c r="N2489" s="35">
        <f t="shared" si="205"/>
        <v>0</v>
      </c>
      <c r="O2489" s="35">
        <f t="shared" si="206"/>
        <v>0</v>
      </c>
      <c r="P2489" s="35">
        <f t="shared" si="207"/>
        <v>0</v>
      </c>
    </row>
    <row r="2490" spans="12:16" ht="15" hidden="1" customHeight="1">
      <c r="L2490" s="43" t="str">
        <f t="shared" si="203"/>
        <v>-</v>
      </c>
      <c r="M2490" s="35">
        <f t="shared" si="204"/>
        <v>0</v>
      </c>
      <c r="N2490" s="35">
        <f t="shared" si="205"/>
        <v>0</v>
      </c>
      <c r="O2490" s="35">
        <f t="shared" si="206"/>
        <v>0</v>
      </c>
      <c r="P2490" s="35">
        <f t="shared" si="207"/>
        <v>0</v>
      </c>
    </row>
    <row r="2491" spans="12:16" ht="15" hidden="1" customHeight="1">
      <c r="L2491" s="43" t="str">
        <f t="shared" si="203"/>
        <v>-</v>
      </c>
      <c r="M2491" s="35">
        <f t="shared" si="204"/>
        <v>0</v>
      </c>
      <c r="N2491" s="35">
        <f t="shared" si="205"/>
        <v>0</v>
      </c>
      <c r="O2491" s="35">
        <f t="shared" si="206"/>
        <v>0</v>
      </c>
      <c r="P2491" s="35">
        <f t="shared" si="207"/>
        <v>0</v>
      </c>
    </row>
    <row r="2492" spans="12:16" ht="15" hidden="1" customHeight="1">
      <c r="L2492" s="43" t="str">
        <f t="shared" si="203"/>
        <v>-</v>
      </c>
      <c r="M2492" s="35">
        <f t="shared" si="204"/>
        <v>0</v>
      </c>
      <c r="N2492" s="35">
        <f t="shared" si="205"/>
        <v>0</v>
      </c>
      <c r="O2492" s="35">
        <f t="shared" si="206"/>
        <v>0</v>
      </c>
      <c r="P2492" s="35">
        <f t="shared" si="207"/>
        <v>0</v>
      </c>
    </row>
    <row r="2493" spans="12:16" ht="15" hidden="1" customHeight="1">
      <c r="L2493" s="43" t="str">
        <f t="shared" si="203"/>
        <v>-</v>
      </c>
      <c r="M2493" s="35">
        <f t="shared" si="204"/>
        <v>0</v>
      </c>
      <c r="N2493" s="35">
        <f t="shared" si="205"/>
        <v>0</v>
      </c>
      <c r="O2493" s="35">
        <f t="shared" si="206"/>
        <v>0</v>
      </c>
      <c r="P2493" s="35">
        <f t="shared" si="207"/>
        <v>0</v>
      </c>
    </row>
    <row r="2494" spans="12:16" ht="15" hidden="1" customHeight="1">
      <c r="L2494" s="43" t="str">
        <f t="shared" si="203"/>
        <v>-</v>
      </c>
      <c r="M2494" s="35">
        <f t="shared" si="204"/>
        <v>0</v>
      </c>
      <c r="N2494" s="35">
        <f t="shared" si="205"/>
        <v>0</v>
      </c>
      <c r="O2494" s="35">
        <f t="shared" si="206"/>
        <v>0</v>
      </c>
      <c r="P2494" s="35">
        <f t="shared" si="207"/>
        <v>0</v>
      </c>
    </row>
    <row r="2495" spans="12:16" ht="15" hidden="1" customHeight="1">
      <c r="L2495" s="43" t="str">
        <f t="shared" si="203"/>
        <v>-</v>
      </c>
      <c r="M2495" s="35">
        <f t="shared" si="204"/>
        <v>0</v>
      </c>
      <c r="N2495" s="35">
        <f t="shared" si="205"/>
        <v>0</v>
      </c>
      <c r="O2495" s="35">
        <f t="shared" si="206"/>
        <v>0</v>
      </c>
      <c r="P2495" s="35">
        <f t="shared" si="207"/>
        <v>0</v>
      </c>
    </row>
    <row r="2496" spans="12:16" ht="15" hidden="1" customHeight="1">
      <c r="L2496" s="43" t="str">
        <f t="shared" si="203"/>
        <v>-</v>
      </c>
      <c r="M2496" s="35">
        <f t="shared" si="204"/>
        <v>0</v>
      </c>
      <c r="N2496" s="35">
        <f t="shared" si="205"/>
        <v>0</v>
      </c>
      <c r="O2496" s="35">
        <f t="shared" si="206"/>
        <v>0</v>
      </c>
      <c r="P2496" s="35">
        <f t="shared" si="207"/>
        <v>0</v>
      </c>
    </row>
    <row r="2497" spans="12:16" ht="15" hidden="1" customHeight="1">
      <c r="L2497" s="43" t="str">
        <f t="shared" si="203"/>
        <v>-</v>
      </c>
      <c r="M2497" s="35">
        <f t="shared" si="204"/>
        <v>0</v>
      </c>
      <c r="N2497" s="35">
        <f t="shared" si="205"/>
        <v>0</v>
      </c>
      <c r="O2497" s="35">
        <f t="shared" si="206"/>
        <v>0</v>
      </c>
      <c r="P2497" s="35">
        <f t="shared" si="207"/>
        <v>0</v>
      </c>
    </row>
    <row r="2498" spans="12:16" ht="15" hidden="1" customHeight="1">
      <c r="L2498" s="43" t="str">
        <f t="shared" si="203"/>
        <v>-</v>
      </c>
      <c r="M2498" s="35">
        <f t="shared" si="204"/>
        <v>0</v>
      </c>
      <c r="N2498" s="35">
        <f t="shared" si="205"/>
        <v>0</v>
      </c>
      <c r="O2498" s="35">
        <f t="shared" si="206"/>
        <v>0</v>
      </c>
      <c r="P2498" s="35">
        <f t="shared" si="207"/>
        <v>0</v>
      </c>
    </row>
    <row r="2499" spans="12:16" ht="15" hidden="1" customHeight="1">
      <c r="L2499" s="43" t="str">
        <f t="shared" si="203"/>
        <v>-</v>
      </c>
      <c r="M2499" s="35">
        <f t="shared" si="204"/>
        <v>0</v>
      </c>
      <c r="N2499" s="35">
        <f t="shared" si="205"/>
        <v>0</v>
      </c>
      <c r="O2499" s="35">
        <f t="shared" si="206"/>
        <v>0</v>
      </c>
      <c r="P2499" s="35">
        <f t="shared" si="207"/>
        <v>0</v>
      </c>
    </row>
    <row r="2500" spans="12:16" ht="15" hidden="1" customHeight="1">
      <c r="L2500" s="43" t="str">
        <f t="shared" si="203"/>
        <v>-</v>
      </c>
      <c r="M2500" s="35">
        <f t="shared" si="204"/>
        <v>0</v>
      </c>
      <c r="N2500" s="35">
        <f t="shared" si="205"/>
        <v>0</v>
      </c>
      <c r="O2500" s="35">
        <f t="shared" si="206"/>
        <v>0</v>
      </c>
      <c r="P2500" s="35">
        <f t="shared" si="207"/>
        <v>0</v>
      </c>
    </row>
    <row r="2501" spans="12:16" ht="15" hidden="1" customHeight="1">
      <c r="L2501" s="43" t="str">
        <f t="shared" si="203"/>
        <v>-</v>
      </c>
      <c r="M2501" s="35">
        <f t="shared" si="204"/>
        <v>0</v>
      </c>
      <c r="N2501" s="35">
        <f t="shared" si="205"/>
        <v>0</v>
      </c>
      <c r="O2501" s="35">
        <f t="shared" si="206"/>
        <v>0</v>
      </c>
      <c r="P2501" s="35">
        <f t="shared" si="207"/>
        <v>0</v>
      </c>
    </row>
    <row r="2502" spans="12:16" ht="15" hidden="1" customHeight="1">
      <c r="L2502" s="43" t="str">
        <f t="shared" si="203"/>
        <v>-</v>
      </c>
      <c r="M2502" s="35">
        <f t="shared" si="204"/>
        <v>0</v>
      </c>
      <c r="N2502" s="35">
        <f t="shared" si="205"/>
        <v>0</v>
      </c>
      <c r="O2502" s="35">
        <f t="shared" si="206"/>
        <v>0</v>
      </c>
      <c r="P2502" s="35">
        <f t="shared" si="207"/>
        <v>0</v>
      </c>
    </row>
    <row r="2503" spans="12:16" ht="15" hidden="1" customHeight="1">
      <c r="L2503" s="43" t="str">
        <f t="shared" si="203"/>
        <v>-</v>
      </c>
      <c r="M2503" s="35">
        <f t="shared" si="204"/>
        <v>0</v>
      </c>
      <c r="N2503" s="35">
        <f t="shared" si="205"/>
        <v>0</v>
      </c>
      <c r="O2503" s="35">
        <f t="shared" si="206"/>
        <v>0</v>
      </c>
      <c r="P2503" s="35">
        <f t="shared" si="207"/>
        <v>0</v>
      </c>
    </row>
    <row r="2504" spans="12:16" ht="15" hidden="1" customHeight="1">
      <c r="L2504" s="43" t="str">
        <f t="shared" si="203"/>
        <v>-</v>
      </c>
      <c r="M2504" s="35">
        <f t="shared" si="204"/>
        <v>0</v>
      </c>
      <c r="N2504" s="35">
        <f t="shared" si="205"/>
        <v>0</v>
      </c>
      <c r="O2504" s="35">
        <f t="shared" si="206"/>
        <v>0</v>
      </c>
      <c r="P2504" s="35">
        <f t="shared" si="207"/>
        <v>0</v>
      </c>
    </row>
    <row r="2505" spans="12:16" ht="15" hidden="1" customHeight="1">
      <c r="L2505" s="43" t="str">
        <f t="shared" si="203"/>
        <v>-</v>
      </c>
      <c r="M2505" s="35">
        <f t="shared" si="204"/>
        <v>0</v>
      </c>
      <c r="N2505" s="35">
        <f t="shared" si="205"/>
        <v>0</v>
      </c>
      <c r="O2505" s="35">
        <f t="shared" si="206"/>
        <v>0</v>
      </c>
      <c r="P2505" s="35">
        <f t="shared" si="207"/>
        <v>0</v>
      </c>
    </row>
    <row r="2506" spans="12:16" ht="15" hidden="1" customHeight="1">
      <c r="L2506" s="43" t="str">
        <f t="shared" si="203"/>
        <v>-</v>
      </c>
      <c r="M2506" s="35">
        <f t="shared" si="204"/>
        <v>0</v>
      </c>
      <c r="N2506" s="35">
        <f t="shared" si="205"/>
        <v>0</v>
      </c>
      <c r="O2506" s="35">
        <f t="shared" si="206"/>
        <v>0</v>
      </c>
      <c r="P2506" s="35">
        <f t="shared" si="207"/>
        <v>0</v>
      </c>
    </row>
    <row r="2507" spans="12:16" ht="15" hidden="1" customHeight="1">
      <c r="L2507" s="43" t="str">
        <f t="shared" si="203"/>
        <v>-</v>
      </c>
      <c r="M2507" s="35">
        <f t="shared" si="204"/>
        <v>0</v>
      </c>
      <c r="N2507" s="35">
        <f t="shared" si="205"/>
        <v>0</v>
      </c>
      <c r="O2507" s="35">
        <f t="shared" si="206"/>
        <v>0</v>
      </c>
      <c r="P2507" s="35">
        <f t="shared" si="207"/>
        <v>0</v>
      </c>
    </row>
    <row r="2508" spans="12:16" ht="15" hidden="1" customHeight="1">
      <c r="L2508" s="43" t="str">
        <f t="shared" si="203"/>
        <v>-</v>
      </c>
      <c r="M2508" s="35">
        <f t="shared" si="204"/>
        <v>0</v>
      </c>
      <c r="N2508" s="35">
        <f t="shared" si="205"/>
        <v>0</v>
      </c>
      <c r="O2508" s="35">
        <f t="shared" si="206"/>
        <v>0</v>
      </c>
      <c r="P2508" s="35">
        <f t="shared" si="207"/>
        <v>0</v>
      </c>
    </row>
    <row r="2509" spans="12:16" ht="15" hidden="1" customHeight="1">
      <c r="L2509" s="43" t="str">
        <f t="shared" si="203"/>
        <v>-</v>
      </c>
      <c r="M2509" s="35">
        <f t="shared" si="204"/>
        <v>0</v>
      </c>
      <c r="N2509" s="35">
        <f t="shared" si="205"/>
        <v>0</v>
      </c>
      <c r="O2509" s="35">
        <f t="shared" si="206"/>
        <v>0</v>
      </c>
      <c r="P2509" s="35">
        <f t="shared" si="207"/>
        <v>0</v>
      </c>
    </row>
    <row r="2510" spans="12:16" ht="15" hidden="1" customHeight="1">
      <c r="L2510" s="43" t="str">
        <f t="shared" si="203"/>
        <v>-</v>
      </c>
      <c r="M2510" s="35">
        <f t="shared" si="204"/>
        <v>0</v>
      </c>
      <c r="N2510" s="35">
        <f t="shared" si="205"/>
        <v>0</v>
      </c>
      <c r="O2510" s="35">
        <f t="shared" si="206"/>
        <v>0</v>
      </c>
      <c r="P2510" s="35">
        <f t="shared" si="207"/>
        <v>0</v>
      </c>
    </row>
    <row r="2511" spans="12:16" ht="15" hidden="1" customHeight="1">
      <c r="L2511" s="43" t="str">
        <f t="shared" si="203"/>
        <v>-</v>
      </c>
      <c r="M2511" s="35">
        <f t="shared" si="204"/>
        <v>0</v>
      </c>
      <c r="N2511" s="35">
        <f t="shared" si="205"/>
        <v>0</v>
      </c>
      <c r="O2511" s="35">
        <f t="shared" si="206"/>
        <v>0</v>
      </c>
      <c r="P2511" s="35">
        <f t="shared" si="207"/>
        <v>0</v>
      </c>
    </row>
    <row r="2512" spans="12:16" ht="15" hidden="1" customHeight="1">
      <c r="L2512" s="43" t="str">
        <f t="shared" si="203"/>
        <v>-</v>
      </c>
      <c r="M2512" s="35">
        <f t="shared" si="204"/>
        <v>0</v>
      </c>
      <c r="N2512" s="35">
        <f t="shared" si="205"/>
        <v>0</v>
      </c>
      <c r="O2512" s="35">
        <f t="shared" si="206"/>
        <v>0</v>
      </c>
      <c r="P2512" s="35">
        <f t="shared" si="207"/>
        <v>0</v>
      </c>
    </row>
    <row r="2513" spans="12:16" ht="15" hidden="1" customHeight="1">
      <c r="L2513" s="43" t="str">
        <f t="shared" si="203"/>
        <v>-</v>
      </c>
      <c r="M2513" s="35">
        <f t="shared" si="204"/>
        <v>0</v>
      </c>
      <c r="N2513" s="35">
        <f t="shared" si="205"/>
        <v>0</v>
      </c>
      <c r="O2513" s="35">
        <f t="shared" si="206"/>
        <v>0</v>
      </c>
      <c r="P2513" s="35">
        <f t="shared" si="207"/>
        <v>0</v>
      </c>
    </row>
    <row r="2514" spans="12:16" ht="15" hidden="1" customHeight="1">
      <c r="L2514" s="43" t="str">
        <f t="shared" si="203"/>
        <v>-</v>
      </c>
      <c r="M2514" s="35">
        <f t="shared" si="204"/>
        <v>0</v>
      </c>
      <c r="N2514" s="35">
        <f t="shared" si="205"/>
        <v>0</v>
      </c>
      <c r="O2514" s="35">
        <f t="shared" si="206"/>
        <v>0</v>
      </c>
      <c r="P2514" s="35">
        <f t="shared" si="207"/>
        <v>0</v>
      </c>
    </row>
    <row r="2515" spans="12:16" ht="15" hidden="1" customHeight="1">
      <c r="L2515" s="43" t="str">
        <f t="shared" si="203"/>
        <v>-</v>
      </c>
      <c r="M2515" s="35">
        <f t="shared" si="204"/>
        <v>0</v>
      </c>
      <c r="N2515" s="35">
        <f t="shared" si="205"/>
        <v>0</v>
      </c>
      <c r="O2515" s="35">
        <f t="shared" si="206"/>
        <v>0</v>
      </c>
      <c r="P2515" s="35">
        <f t="shared" si="207"/>
        <v>0</v>
      </c>
    </row>
    <row r="2516" spans="12:16" ht="15" hidden="1" customHeight="1">
      <c r="L2516" s="43" t="str">
        <f t="shared" si="203"/>
        <v>-</v>
      </c>
      <c r="M2516" s="35">
        <f t="shared" si="204"/>
        <v>0</v>
      </c>
      <c r="N2516" s="35">
        <f t="shared" si="205"/>
        <v>0</v>
      </c>
      <c r="O2516" s="35">
        <f t="shared" si="206"/>
        <v>0</v>
      </c>
      <c r="P2516" s="35">
        <f t="shared" si="207"/>
        <v>0</v>
      </c>
    </row>
    <row r="2517" spans="12:16" ht="15" hidden="1" customHeight="1">
      <c r="L2517" s="43" t="str">
        <f t="shared" si="203"/>
        <v>-</v>
      </c>
      <c r="M2517" s="35">
        <f t="shared" si="204"/>
        <v>0</v>
      </c>
      <c r="N2517" s="35">
        <f t="shared" si="205"/>
        <v>0</v>
      </c>
      <c r="O2517" s="35">
        <f t="shared" si="206"/>
        <v>0</v>
      </c>
      <c r="P2517" s="35">
        <f t="shared" si="207"/>
        <v>0</v>
      </c>
    </row>
    <row r="2518" spans="12:16" ht="15" hidden="1" customHeight="1">
      <c r="L2518" s="43" t="str">
        <f t="shared" si="203"/>
        <v>-</v>
      </c>
      <c r="M2518" s="35">
        <f t="shared" si="204"/>
        <v>0</v>
      </c>
      <c r="N2518" s="35">
        <f t="shared" si="205"/>
        <v>0</v>
      </c>
      <c r="O2518" s="35">
        <f t="shared" si="206"/>
        <v>0</v>
      </c>
      <c r="P2518" s="35">
        <f t="shared" si="207"/>
        <v>0</v>
      </c>
    </row>
    <row r="2519" spans="12:16" ht="15" hidden="1" customHeight="1">
      <c r="L2519" s="43" t="str">
        <f t="shared" si="203"/>
        <v>-</v>
      </c>
      <c r="M2519" s="35">
        <f t="shared" si="204"/>
        <v>0</v>
      </c>
      <c r="N2519" s="35">
        <f t="shared" si="205"/>
        <v>0</v>
      </c>
      <c r="O2519" s="35">
        <f t="shared" si="206"/>
        <v>0</v>
      </c>
      <c r="P2519" s="35">
        <f t="shared" si="207"/>
        <v>0</v>
      </c>
    </row>
    <row r="2520" spans="12:16" ht="15" hidden="1" customHeight="1">
      <c r="L2520" s="43" t="str">
        <f t="shared" si="203"/>
        <v>-</v>
      </c>
      <c r="M2520" s="35">
        <f t="shared" si="204"/>
        <v>0</v>
      </c>
      <c r="N2520" s="35">
        <f t="shared" si="205"/>
        <v>0</v>
      </c>
      <c r="O2520" s="35">
        <f t="shared" si="206"/>
        <v>0</v>
      </c>
      <c r="P2520" s="35">
        <f t="shared" si="207"/>
        <v>0</v>
      </c>
    </row>
    <row r="2521" spans="12:16" ht="15" hidden="1" customHeight="1">
      <c r="L2521" s="43" t="str">
        <f t="shared" si="203"/>
        <v>-</v>
      </c>
      <c r="M2521" s="35">
        <f t="shared" si="204"/>
        <v>0</v>
      </c>
      <c r="N2521" s="35">
        <f t="shared" si="205"/>
        <v>0</v>
      </c>
      <c r="O2521" s="35">
        <f t="shared" si="206"/>
        <v>0</v>
      </c>
      <c r="P2521" s="35">
        <f t="shared" si="207"/>
        <v>0</v>
      </c>
    </row>
    <row r="2522" spans="12:16" ht="15" hidden="1" customHeight="1">
      <c r="L2522" s="43" t="str">
        <f t="shared" si="203"/>
        <v>-</v>
      </c>
      <c r="M2522" s="35">
        <f t="shared" si="204"/>
        <v>0</v>
      </c>
      <c r="N2522" s="35">
        <f t="shared" si="205"/>
        <v>0</v>
      </c>
      <c r="O2522" s="35">
        <f t="shared" si="206"/>
        <v>0</v>
      </c>
      <c r="P2522" s="35">
        <f t="shared" si="207"/>
        <v>0</v>
      </c>
    </row>
    <row r="2523" spans="12:16" ht="15" hidden="1" customHeight="1">
      <c r="L2523" s="43" t="str">
        <f t="shared" si="203"/>
        <v>-</v>
      </c>
      <c r="M2523" s="35">
        <f t="shared" si="204"/>
        <v>0</v>
      </c>
      <c r="N2523" s="35">
        <f t="shared" si="205"/>
        <v>0</v>
      </c>
      <c r="O2523" s="35">
        <f t="shared" si="206"/>
        <v>0</v>
      </c>
      <c r="P2523" s="35">
        <f t="shared" si="207"/>
        <v>0</v>
      </c>
    </row>
    <row r="2524" spans="12:16" ht="15" hidden="1" customHeight="1">
      <c r="L2524" s="43" t="str">
        <f t="shared" si="203"/>
        <v>-</v>
      </c>
      <c r="M2524" s="35">
        <f t="shared" si="204"/>
        <v>0</v>
      </c>
      <c r="N2524" s="35">
        <f t="shared" si="205"/>
        <v>0</v>
      </c>
      <c r="O2524" s="35">
        <f t="shared" si="206"/>
        <v>0</v>
      </c>
      <c r="P2524" s="35">
        <f t="shared" si="207"/>
        <v>0</v>
      </c>
    </row>
    <row r="2525" spans="12:16" ht="15" hidden="1" customHeight="1">
      <c r="L2525" s="43" t="str">
        <f t="shared" si="203"/>
        <v>-</v>
      </c>
      <c r="M2525" s="35">
        <f t="shared" si="204"/>
        <v>0</v>
      </c>
      <c r="N2525" s="35">
        <f t="shared" si="205"/>
        <v>0</v>
      </c>
      <c r="O2525" s="35">
        <f t="shared" si="206"/>
        <v>0</v>
      </c>
      <c r="P2525" s="35">
        <f t="shared" si="207"/>
        <v>0</v>
      </c>
    </row>
    <row r="2526" spans="12:16" ht="15" hidden="1" customHeight="1">
      <c r="L2526" s="43" t="str">
        <f t="shared" si="203"/>
        <v>-</v>
      </c>
      <c r="M2526" s="35">
        <f t="shared" si="204"/>
        <v>0</v>
      </c>
      <c r="N2526" s="35">
        <f t="shared" si="205"/>
        <v>0</v>
      </c>
      <c r="O2526" s="35">
        <f t="shared" si="206"/>
        <v>0</v>
      </c>
      <c r="P2526" s="35">
        <f t="shared" si="207"/>
        <v>0</v>
      </c>
    </row>
    <row r="2527" spans="12:16" ht="15" hidden="1" customHeight="1">
      <c r="L2527" s="43" t="str">
        <f t="shared" ref="L2527:L2587" si="208">IFERROR(IF(MAX(L2526+1,Дата_получения_Займа+1)&gt;Дата_погашения_Займа,"-",MAX(L2526+1,Дата_получения_Займа+1)),"-")</f>
        <v>-</v>
      </c>
      <c r="M2527" s="35">
        <f t="shared" ref="M2527:M2587" si="209">IFERROR(VLOOKUP(L2527,$B$31:$E$59,4,FALSE),0)</f>
        <v>0</v>
      </c>
      <c r="N2527" s="35">
        <f t="shared" ref="N2527:N2587" si="210">IF(ISNUMBER(N2526),N2526-M2527,$E$20)</f>
        <v>0</v>
      </c>
      <c r="O2527" s="35">
        <f t="shared" ref="O2527:O2587" si="211">IFERROR(IF(ISNUMBER(N2526),N2526,$E$20)*IF(L2527&gt;=$J$20,$E$25,$E$24)/IF(MOD(YEAR(L2527),4),365,366)*IF(ISBLANK(L2526),L2527-$E$22,L2527-L2526),0)</f>
        <v>0</v>
      </c>
      <c r="P2527" s="35">
        <f t="shared" ref="P2527:P2587" si="212">IFERROR(IF(ISNUMBER(N2526),N2526,$E$20)*3%/IF(MOD(YEAR(L2527),4),365,366)*IF(ISBLANK(L2526),(L2527-$E$22),L2527-L2526),0)</f>
        <v>0</v>
      </c>
    </row>
    <row r="2528" spans="12:16" ht="15" hidden="1" customHeight="1">
      <c r="L2528" s="43" t="str">
        <f t="shared" si="208"/>
        <v>-</v>
      </c>
      <c r="M2528" s="35">
        <f t="shared" si="209"/>
        <v>0</v>
      </c>
      <c r="N2528" s="35">
        <f t="shared" si="210"/>
        <v>0</v>
      </c>
      <c r="O2528" s="35">
        <f t="shared" si="211"/>
        <v>0</v>
      </c>
      <c r="P2528" s="35">
        <f t="shared" si="212"/>
        <v>0</v>
      </c>
    </row>
    <row r="2529" spans="12:16" ht="15" hidden="1" customHeight="1">
      <c r="L2529" s="43" t="str">
        <f t="shared" si="208"/>
        <v>-</v>
      </c>
      <c r="M2529" s="35">
        <f t="shared" si="209"/>
        <v>0</v>
      </c>
      <c r="N2529" s="35">
        <f t="shared" si="210"/>
        <v>0</v>
      </c>
      <c r="O2529" s="35">
        <f t="shared" si="211"/>
        <v>0</v>
      </c>
      <c r="P2529" s="35">
        <f t="shared" si="212"/>
        <v>0</v>
      </c>
    </row>
    <row r="2530" spans="12:16" ht="15" hidden="1" customHeight="1">
      <c r="L2530" s="43" t="str">
        <f t="shared" si="208"/>
        <v>-</v>
      </c>
      <c r="M2530" s="35">
        <f t="shared" si="209"/>
        <v>0</v>
      </c>
      <c r="N2530" s="35">
        <f t="shared" si="210"/>
        <v>0</v>
      </c>
      <c r="O2530" s="35">
        <f t="shared" si="211"/>
        <v>0</v>
      </c>
      <c r="P2530" s="35">
        <f t="shared" si="212"/>
        <v>0</v>
      </c>
    </row>
    <row r="2531" spans="12:16" ht="15" hidden="1" customHeight="1">
      <c r="L2531" s="43" t="str">
        <f t="shared" si="208"/>
        <v>-</v>
      </c>
      <c r="M2531" s="35">
        <f t="shared" si="209"/>
        <v>0</v>
      </c>
      <c r="N2531" s="35">
        <f t="shared" si="210"/>
        <v>0</v>
      </c>
      <c r="O2531" s="35">
        <f t="shared" si="211"/>
        <v>0</v>
      </c>
      <c r="P2531" s="35">
        <f t="shared" si="212"/>
        <v>0</v>
      </c>
    </row>
    <row r="2532" spans="12:16" ht="15" hidden="1" customHeight="1">
      <c r="L2532" s="43" t="str">
        <f t="shared" si="208"/>
        <v>-</v>
      </c>
      <c r="M2532" s="35">
        <f t="shared" si="209"/>
        <v>0</v>
      </c>
      <c r="N2532" s="35">
        <f t="shared" si="210"/>
        <v>0</v>
      </c>
      <c r="O2532" s="35">
        <f t="shared" si="211"/>
        <v>0</v>
      </c>
      <c r="P2532" s="35">
        <f t="shared" si="212"/>
        <v>0</v>
      </c>
    </row>
    <row r="2533" spans="12:16" ht="15" hidden="1" customHeight="1">
      <c r="L2533" s="43" t="str">
        <f t="shared" si="208"/>
        <v>-</v>
      </c>
      <c r="M2533" s="35">
        <f t="shared" si="209"/>
        <v>0</v>
      </c>
      <c r="N2533" s="35">
        <f t="shared" si="210"/>
        <v>0</v>
      </c>
      <c r="O2533" s="35">
        <f t="shared" si="211"/>
        <v>0</v>
      </c>
      <c r="P2533" s="35">
        <f t="shared" si="212"/>
        <v>0</v>
      </c>
    </row>
    <row r="2534" spans="12:16" ht="15" hidden="1" customHeight="1">
      <c r="L2534" s="43" t="str">
        <f t="shared" si="208"/>
        <v>-</v>
      </c>
      <c r="M2534" s="35">
        <f t="shared" si="209"/>
        <v>0</v>
      </c>
      <c r="N2534" s="35">
        <f t="shared" si="210"/>
        <v>0</v>
      </c>
      <c r="O2534" s="35">
        <f t="shared" si="211"/>
        <v>0</v>
      </c>
      <c r="P2534" s="35">
        <f t="shared" si="212"/>
        <v>0</v>
      </c>
    </row>
    <row r="2535" spans="12:16" ht="15" hidden="1" customHeight="1">
      <c r="L2535" s="43" t="str">
        <f t="shared" si="208"/>
        <v>-</v>
      </c>
      <c r="M2535" s="35">
        <f t="shared" si="209"/>
        <v>0</v>
      </c>
      <c r="N2535" s="35">
        <f t="shared" si="210"/>
        <v>0</v>
      </c>
      <c r="O2535" s="35">
        <f t="shared" si="211"/>
        <v>0</v>
      </c>
      <c r="P2535" s="35">
        <f t="shared" si="212"/>
        <v>0</v>
      </c>
    </row>
    <row r="2536" spans="12:16" ht="15" hidden="1" customHeight="1">
      <c r="L2536" s="43" t="str">
        <f t="shared" si="208"/>
        <v>-</v>
      </c>
      <c r="M2536" s="35">
        <f t="shared" si="209"/>
        <v>0</v>
      </c>
      <c r="N2536" s="35">
        <f t="shared" si="210"/>
        <v>0</v>
      </c>
      <c r="O2536" s="35">
        <f t="shared" si="211"/>
        <v>0</v>
      </c>
      <c r="P2536" s="35">
        <f t="shared" si="212"/>
        <v>0</v>
      </c>
    </row>
    <row r="2537" spans="12:16" ht="15" hidden="1" customHeight="1">
      <c r="L2537" s="43" t="str">
        <f t="shared" si="208"/>
        <v>-</v>
      </c>
      <c r="M2537" s="35">
        <f t="shared" si="209"/>
        <v>0</v>
      </c>
      <c r="N2537" s="35">
        <f t="shared" si="210"/>
        <v>0</v>
      </c>
      <c r="O2537" s="35">
        <f t="shared" si="211"/>
        <v>0</v>
      </c>
      <c r="P2537" s="35">
        <f t="shared" si="212"/>
        <v>0</v>
      </c>
    </row>
    <row r="2538" spans="12:16" ht="15" hidden="1" customHeight="1">
      <c r="L2538" s="43" t="str">
        <f t="shared" si="208"/>
        <v>-</v>
      </c>
      <c r="M2538" s="35">
        <f t="shared" si="209"/>
        <v>0</v>
      </c>
      <c r="N2538" s="35">
        <f t="shared" si="210"/>
        <v>0</v>
      </c>
      <c r="O2538" s="35">
        <f t="shared" si="211"/>
        <v>0</v>
      </c>
      <c r="P2538" s="35">
        <f t="shared" si="212"/>
        <v>0</v>
      </c>
    </row>
    <row r="2539" spans="12:16" ht="15" hidden="1" customHeight="1">
      <c r="L2539" s="43" t="str">
        <f t="shared" si="208"/>
        <v>-</v>
      </c>
      <c r="M2539" s="35">
        <f t="shared" si="209"/>
        <v>0</v>
      </c>
      <c r="N2539" s="35">
        <f t="shared" si="210"/>
        <v>0</v>
      </c>
      <c r="O2539" s="35">
        <f t="shared" si="211"/>
        <v>0</v>
      </c>
      <c r="P2539" s="35">
        <f t="shared" si="212"/>
        <v>0</v>
      </c>
    </row>
    <row r="2540" spans="12:16" ht="15" hidden="1" customHeight="1">
      <c r="L2540" s="43" t="str">
        <f t="shared" si="208"/>
        <v>-</v>
      </c>
      <c r="M2540" s="35">
        <f t="shared" si="209"/>
        <v>0</v>
      </c>
      <c r="N2540" s="35">
        <f t="shared" si="210"/>
        <v>0</v>
      </c>
      <c r="O2540" s="35">
        <f t="shared" si="211"/>
        <v>0</v>
      </c>
      <c r="P2540" s="35">
        <f t="shared" si="212"/>
        <v>0</v>
      </c>
    </row>
    <row r="2541" spans="12:16" ht="15" hidden="1" customHeight="1">
      <c r="L2541" s="43" t="str">
        <f t="shared" si="208"/>
        <v>-</v>
      </c>
      <c r="M2541" s="35">
        <f t="shared" si="209"/>
        <v>0</v>
      </c>
      <c r="N2541" s="35">
        <f t="shared" si="210"/>
        <v>0</v>
      </c>
      <c r="O2541" s="35">
        <f t="shared" si="211"/>
        <v>0</v>
      </c>
      <c r="P2541" s="35">
        <f t="shared" si="212"/>
        <v>0</v>
      </c>
    </row>
    <row r="2542" spans="12:16" ht="15" hidden="1" customHeight="1">
      <c r="L2542" s="43" t="str">
        <f t="shared" si="208"/>
        <v>-</v>
      </c>
      <c r="M2542" s="35">
        <f t="shared" si="209"/>
        <v>0</v>
      </c>
      <c r="N2542" s="35">
        <f t="shared" si="210"/>
        <v>0</v>
      </c>
      <c r="O2542" s="35">
        <f t="shared" si="211"/>
        <v>0</v>
      </c>
      <c r="P2542" s="35">
        <f t="shared" si="212"/>
        <v>0</v>
      </c>
    </row>
    <row r="2543" spans="12:16" ht="15" hidden="1" customHeight="1">
      <c r="L2543" s="43" t="str">
        <f t="shared" si="208"/>
        <v>-</v>
      </c>
      <c r="M2543" s="35">
        <f t="shared" si="209"/>
        <v>0</v>
      </c>
      <c r="N2543" s="35">
        <f t="shared" si="210"/>
        <v>0</v>
      </c>
      <c r="O2543" s="35">
        <f t="shared" si="211"/>
        <v>0</v>
      </c>
      <c r="P2543" s="35">
        <f t="shared" si="212"/>
        <v>0</v>
      </c>
    </row>
    <row r="2544" spans="12:16" ht="15" hidden="1" customHeight="1">
      <c r="L2544" s="43" t="str">
        <f t="shared" si="208"/>
        <v>-</v>
      </c>
      <c r="M2544" s="35">
        <f t="shared" si="209"/>
        <v>0</v>
      </c>
      <c r="N2544" s="35">
        <f t="shared" si="210"/>
        <v>0</v>
      </c>
      <c r="O2544" s="35">
        <f t="shared" si="211"/>
        <v>0</v>
      </c>
      <c r="P2544" s="35">
        <f t="shared" si="212"/>
        <v>0</v>
      </c>
    </row>
    <row r="2545" spans="12:16" ht="15" hidden="1" customHeight="1">
      <c r="L2545" s="43" t="str">
        <f t="shared" si="208"/>
        <v>-</v>
      </c>
      <c r="M2545" s="35">
        <f t="shared" si="209"/>
        <v>0</v>
      </c>
      <c r="N2545" s="35">
        <f t="shared" si="210"/>
        <v>0</v>
      </c>
      <c r="O2545" s="35">
        <f t="shared" si="211"/>
        <v>0</v>
      </c>
      <c r="P2545" s="35">
        <f t="shared" si="212"/>
        <v>0</v>
      </c>
    </row>
    <row r="2546" spans="12:16" ht="15" hidden="1" customHeight="1">
      <c r="L2546" s="43" t="str">
        <f t="shared" si="208"/>
        <v>-</v>
      </c>
      <c r="M2546" s="35">
        <f t="shared" si="209"/>
        <v>0</v>
      </c>
      <c r="N2546" s="35">
        <f t="shared" si="210"/>
        <v>0</v>
      </c>
      <c r="O2546" s="35">
        <f t="shared" si="211"/>
        <v>0</v>
      </c>
      <c r="P2546" s="35">
        <f t="shared" si="212"/>
        <v>0</v>
      </c>
    </row>
    <row r="2547" spans="12:16" ht="15" hidden="1" customHeight="1">
      <c r="L2547" s="43" t="str">
        <f t="shared" si="208"/>
        <v>-</v>
      </c>
      <c r="M2547" s="35">
        <f t="shared" si="209"/>
        <v>0</v>
      </c>
      <c r="N2547" s="35">
        <f t="shared" si="210"/>
        <v>0</v>
      </c>
      <c r="O2547" s="35">
        <f t="shared" si="211"/>
        <v>0</v>
      </c>
      <c r="P2547" s="35">
        <f t="shared" si="212"/>
        <v>0</v>
      </c>
    </row>
    <row r="2548" spans="12:16" ht="15" hidden="1" customHeight="1">
      <c r="L2548" s="43" t="str">
        <f t="shared" si="208"/>
        <v>-</v>
      </c>
      <c r="M2548" s="35">
        <f t="shared" si="209"/>
        <v>0</v>
      </c>
      <c r="N2548" s="35">
        <f t="shared" si="210"/>
        <v>0</v>
      </c>
      <c r="O2548" s="35">
        <f t="shared" si="211"/>
        <v>0</v>
      </c>
      <c r="P2548" s="35">
        <f t="shared" si="212"/>
        <v>0</v>
      </c>
    </row>
    <row r="2549" spans="12:16" ht="15" hidden="1" customHeight="1">
      <c r="L2549" s="43" t="str">
        <f t="shared" si="208"/>
        <v>-</v>
      </c>
      <c r="M2549" s="35">
        <f t="shared" si="209"/>
        <v>0</v>
      </c>
      <c r="N2549" s="35">
        <f t="shared" si="210"/>
        <v>0</v>
      </c>
      <c r="O2549" s="35">
        <f t="shared" si="211"/>
        <v>0</v>
      </c>
      <c r="P2549" s="35">
        <f t="shared" si="212"/>
        <v>0</v>
      </c>
    </row>
    <row r="2550" spans="12:16" ht="15" hidden="1" customHeight="1">
      <c r="L2550" s="43" t="str">
        <f t="shared" si="208"/>
        <v>-</v>
      </c>
      <c r="M2550" s="35">
        <f t="shared" si="209"/>
        <v>0</v>
      </c>
      <c r="N2550" s="35">
        <f t="shared" si="210"/>
        <v>0</v>
      </c>
      <c r="O2550" s="35">
        <f t="shared" si="211"/>
        <v>0</v>
      </c>
      <c r="P2550" s="35">
        <f t="shared" si="212"/>
        <v>0</v>
      </c>
    </row>
    <row r="2551" spans="12:16" ht="15" hidden="1" customHeight="1">
      <c r="L2551" s="43" t="str">
        <f t="shared" si="208"/>
        <v>-</v>
      </c>
      <c r="M2551" s="35">
        <f t="shared" si="209"/>
        <v>0</v>
      </c>
      <c r="N2551" s="35">
        <f t="shared" si="210"/>
        <v>0</v>
      </c>
      <c r="O2551" s="35">
        <f t="shared" si="211"/>
        <v>0</v>
      </c>
      <c r="P2551" s="35">
        <f t="shared" si="212"/>
        <v>0</v>
      </c>
    </row>
    <row r="2552" spans="12:16" ht="15" hidden="1" customHeight="1">
      <c r="L2552" s="43" t="str">
        <f t="shared" si="208"/>
        <v>-</v>
      </c>
      <c r="M2552" s="35">
        <f t="shared" si="209"/>
        <v>0</v>
      </c>
      <c r="N2552" s="35">
        <f t="shared" si="210"/>
        <v>0</v>
      </c>
      <c r="O2552" s="35">
        <f t="shared" si="211"/>
        <v>0</v>
      </c>
      <c r="P2552" s="35">
        <f t="shared" si="212"/>
        <v>0</v>
      </c>
    </row>
    <row r="2553" spans="12:16" ht="15" hidden="1" customHeight="1">
      <c r="L2553" s="43" t="str">
        <f t="shared" si="208"/>
        <v>-</v>
      </c>
      <c r="M2553" s="35">
        <f t="shared" si="209"/>
        <v>0</v>
      </c>
      <c r="N2553" s="35">
        <f t="shared" si="210"/>
        <v>0</v>
      </c>
      <c r="O2553" s="35">
        <f t="shared" si="211"/>
        <v>0</v>
      </c>
      <c r="P2553" s="35">
        <f t="shared" si="212"/>
        <v>0</v>
      </c>
    </row>
    <row r="2554" spans="12:16" ht="15" hidden="1" customHeight="1">
      <c r="L2554" s="43" t="str">
        <f t="shared" si="208"/>
        <v>-</v>
      </c>
      <c r="M2554" s="35">
        <f t="shared" si="209"/>
        <v>0</v>
      </c>
      <c r="N2554" s="35">
        <f t="shared" si="210"/>
        <v>0</v>
      </c>
      <c r="O2554" s="35">
        <f t="shared" si="211"/>
        <v>0</v>
      </c>
      <c r="P2554" s="35">
        <f t="shared" si="212"/>
        <v>0</v>
      </c>
    </row>
    <row r="2555" spans="12:16" ht="15" hidden="1" customHeight="1">
      <c r="L2555" s="43" t="str">
        <f t="shared" si="208"/>
        <v>-</v>
      </c>
      <c r="M2555" s="35">
        <f t="shared" si="209"/>
        <v>0</v>
      </c>
      <c r="N2555" s="35">
        <f t="shared" si="210"/>
        <v>0</v>
      </c>
      <c r="O2555" s="35">
        <f t="shared" si="211"/>
        <v>0</v>
      </c>
      <c r="P2555" s="35">
        <f t="shared" si="212"/>
        <v>0</v>
      </c>
    </row>
    <row r="2556" spans="12:16" ht="15" hidden="1" customHeight="1">
      <c r="L2556" s="43" t="str">
        <f t="shared" si="208"/>
        <v>-</v>
      </c>
      <c r="M2556" s="35">
        <f t="shared" si="209"/>
        <v>0</v>
      </c>
      <c r="N2556" s="35">
        <f t="shared" si="210"/>
        <v>0</v>
      </c>
      <c r="O2556" s="35">
        <f t="shared" si="211"/>
        <v>0</v>
      </c>
      <c r="P2556" s="35">
        <f t="shared" si="212"/>
        <v>0</v>
      </c>
    </row>
    <row r="2557" spans="12:16" ht="15" hidden="1" customHeight="1">
      <c r="L2557" s="43" t="str">
        <f t="shared" si="208"/>
        <v>-</v>
      </c>
      <c r="M2557" s="35">
        <f t="shared" si="209"/>
        <v>0</v>
      </c>
      <c r="N2557" s="35">
        <f t="shared" si="210"/>
        <v>0</v>
      </c>
      <c r="O2557" s="35">
        <f t="shared" si="211"/>
        <v>0</v>
      </c>
      <c r="P2557" s="35">
        <f t="shared" si="212"/>
        <v>0</v>
      </c>
    </row>
    <row r="2558" spans="12:16" ht="15" hidden="1" customHeight="1">
      <c r="L2558" s="43" t="str">
        <f t="shared" si="208"/>
        <v>-</v>
      </c>
      <c r="M2558" s="35">
        <f t="shared" si="209"/>
        <v>0</v>
      </c>
      <c r="N2558" s="35">
        <f t="shared" si="210"/>
        <v>0</v>
      </c>
      <c r="O2558" s="35">
        <f t="shared" si="211"/>
        <v>0</v>
      </c>
      <c r="P2558" s="35">
        <f t="shared" si="212"/>
        <v>0</v>
      </c>
    </row>
    <row r="2559" spans="12:16" ht="15" hidden="1" customHeight="1">
      <c r="L2559" s="43" t="str">
        <f t="shared" si="208"/>
        <v>-</v>
      </c>
      <c r="M2559" s="35">
        <f t="shared" si="209"/>
        <v>0</v>
      </c>
      <c r="N2559" s="35">
        <f t="shared" si="210"/>
        <v>0</v>
      </c>
      <c r="O2559" s="35">
        <f t="shared" si="211"/>
        <v>0</v>
      </c>
      <c r="P2559" s="35">
        <f t="shared" si="212"/>
        <v>0</v>
      </c>
    </row>
    <row r="2560" spans="12:16" ht="15" hidden="1" customHeight="1">
      <c r="L2560" s="43" t="str">
        <f t="shared" si="208"/>
        <v>-</v>
      </c>
      <c r="M2560" s="35">
        <f t="shared" si="209"/>
        <v>0</v>
      </c>
      <c r="N2560" s="35">
        <f t="shared" si="210"/>
        <v>0</v>
      </c>
      <c r="O2560" s="35">
        <f t="shared" si="211"/>
        <v>0</v>
      </c>
      <c r="P2560" s="35">
        <f t="shared" si="212"/>
        <v>0</v>
      </c>
    </row>
    <row r="2561" spans="12:16" ht="15" hidden="1" customHeight="1">
      <c r="L2561" s="43" t="str">
        <f t="shared" si="208"/>
        <v>-</v>
      </c>
      <c r="M2561" s="35">
        <f t="shared" si="209"/>
        <v>0</v>
      </c>
      <c r="N2561" s="35">
        <f t="shared" si="210"/>
        <v>0</v>
      </c>
      <c r="O2561" s="35">
        <f t="shared" si="211"/>
        <v>0</v>
      </c>
      <c r="P2561" s="35">
        <f t="shared" si="212"/>
        <v>0</v>
      </c>
    </row>
    <row r="2562" spans="12:16" ht="15" hidden="1" customHeight="1">
      <c r="L2562" s="43" t="str">
        <f t="shared" si="208"/>
        <v>-</v>
      </c>
      <c r="M2562" s="35">
        <f t="shared" si="209"/>
        <v>0</v>
      </c>
      <c r="N2562" s="35">
        <f t="shared" si="210"/>
        <v>0</v>
      </c>
      <c r="O2562" s="35">
        <f t="shared" si="211"/>
        <v>0</v>
      </c>
      <c r="P2562" s="35">
        <f t="shared" si="212"/>
        <v>0</v>
      </c>
    </row>
    <row r="2563" spans="12:16" ht="15" hidden="1" customHeight="1">
      <c r="L2563" s="43" t="str">
        <f t="shared" si="208"/>
        <v>-</v>
      </c>
      <c r="M2563" s="35">
        <f t="shared" si="209"/>
        <v>0</v>
      </c>
      <c r="N2563" s="35">
        <f t="shared" si="210"/>
        <v>0</v>
      </c>
      <c r="O2563" s="35">
        <f t="shared" si="211"/>
        <v>0</v>
      </c>
      <c r="P2563" s="35">
        <f t="shared" si="212"/>
        <v>0</v>
      </c>
    </row>
    <row r="2564" spans="12:16" ht="15" hidden="1" customHeight="1">
      <c r="L2564" s="43" t="str">
        <f t="shared" si="208"/>
        <v>-</v>
      </c>
      <c r="M2564" s="35">
        <f t="shared" si="209"/>
        <v>0</v>
      </c>
      <c r="N2564" s="35">
        <f t="shared" si="210"/>
        <v>0</v>
      </c>
      <c r="O2564" s="35">
        <f t="shared" si="211"/>
        <v>0</v>
      </c>
      <c r="P2564" s="35">
        <f t="shared" si="212"/>
        <v>0</v>
      </c>
    </row>
    <row r="2565" spans="12:16" ht="15" hidden="1" customHeight="1">
      <c r="L2565" s="43" t="str">
        <f t="shared" si="208"/>
        <v>-</v>
      </c>
      <c r="M2565" s="35">
        <f t="shared" si="209"/>
        <v>0</v>
      </c>
      <c r="N2565" s="35">
        <f t="shared" si="210"/>
        <v>0</v>
      </c>
      <c r="O2565" s="35">
        <f t="shared" si="211"/>
        <v>0</v>
      </c>
      <c r="P2565" s="35">
        <f t="shared" si="212"/>
        <v>0</v>
      </c>
    </row>
    <row r="2566" spans="12:16" ht="15" hidden="1" customHeight="1">
      <c r="L2566" s="43" t="str">
        <f t="shared" si="208"/>
        <v>-</v>
      </c>
      <c r="M2566" s="35">
        <f t="shared" si="209"/>
        <v>0</v>
      </c>
      <c r="N2566" s="35">
        <f t="shared" si="210"/>
        <v>0</v>
      </c>
      <c r="O2566" s="35">
        <f t="shared" si="211"/>
        <v>0</v>
      </c>
      <c r="P2566" s="35">
        <f t="shared" si="212"/>
        <v>0</v>
      </c>
    </row>
    <row r="2567" spans="12:16" ht="15" hidden="1" customHeight="1">
      <c r="L2567" s="43" t="str">
        <f t="shared" si="208"/>
        <v>-</v>
      </c>
      <c r="M2567" s="35">
        <f t="shared" si="209"/>
        <v>0</v>
      </c>
      <c r="N2567" s="35">
        <f t="shared" si="210"/>
        <v>0</v>
      </c>
      <c r="O2567" s="35">
        <f t="shared" si="211"/>
        <v>0</v>
      </c>
      <c r="P2567" s="35">
        <f t="shared" si="212"/>
        <v>0</v>
      </c>
    </row>
    <row r="2568" spans="12:16" ht="15" hidden="1" customHeight="1">
      <c r="L2568" s="43" t="str">
        <f t="shared" si="208"/>
        <v>-</v>
      </c>
      <c r="M2568" s="35">
        <f t="shared" si="209"/>
        <v>0</v>
      </c>
      <c r="N2568" s="35">
        <f t="shared" si="210"/>
        <v>0</v>
      </c>
      <c r="O2568" s="35">
        <f t="shared" si="211"/>
        <v>0</v>
      </c>
      <c r="P2568" s="35">
        <f t="shared" si="212"/>
        <v>0</v>
      </c>
    </row>
    <row r="2569" spans="12:16" ht="15" hidden="1" customHeight="1">
      <c r="L2569" s="43" t="str">
        <f t="shared" si="208"/>
        <v>-</v>
      </c>
      <c r="M2569" s="35">
        <f t="shared" si="209"/>
        <v>0</v>
      </c>
      <c r="N2569" s="35">
        <f t="shared" si="210"/>
        <v>0</v>
      </c>
      <c r="O2569" s="35">
        <f t="shared" si="211"/>
        <v>0</v>
      </c>
      <c r="P2569" s="35">
        <f t="shared" si="212"/>
        <v>0</v>
      </c>
    </row>
    <row r="2570" spans="12:16" ht="15" hidden="1" customHeight="1">
      <c r="L2570" s="43" t="str">
        <f t="shared" si="208"/>
        <v>-</v>
      </c>
      <c r="M2570" s="35">
        <f t="shared" si="209"/>
        <v>0</v>
      </c>
      <c r="N2570" s="35">
        <f t="shared" si="210"/>
        <v>0</v>
      </c>
      <c r="O2570" s="35">
        <f t="shared" si="211"/>
        <v>0</v>
      </c>
      <c r="P2570" s="35">
        <f t="shared" si="212"/>
        <v>0</v>
      </c>
    </row>
    <row r="2571" spans="12:16" ht="15" hidden="1" customHeight="1">
      <c r="L2571" s="43" t="str">
        <f t="shared" si="208"/>
        <v>-</v>
      </c>
      <c r="M2571" s="35">
        <f t="shared" si="209"/>
        <v>0</v>
      </c>
      <c r="N2571" s="35">
        <f t="shared" si="210"/>
        <v>0</v>
      </c>
      <c r="O2571" s="35">
        <f t="shared" si="211"/>
        <v>0</v>
      </c>
      <c r="P2571" s="35">
        <f t="shared" si="212"/>
        <v>0</v>
      </c>
    </row>
    <row r="2572" spans="12:16" ht="15" hidden="1" customHeight="1">
      <c r="L2572" s="43" t="str">
        <f t="shared" si="208"/>
        <v>-</v>
      </c>
      <c r="M2572" s="35">
        <f t="shared" si="209"/>
        <v>0</v>
      </c>
      <c r="N2572" s="35">
        <f t="shared" si="210"/>
        <v>0</v>
      </c>
      <c r="O2572" s="35">
        <f t="shared" si="211"/>
        <v>0</v>
      </c>
      <c r="P2572" s="35">
        <f t="shared" si="212"/>
        <v>0</v>
      </c>
    </row>
    <row r="2573" spans="12:16" ht="15" hidden="1" customHeight="1">
      <c r="L2573" s="43" t="str">
        <f t="shared" si="208"/>
        <v>-</v>
      </c>
      <c r="M2573" s="35">
        <f t="shared" si="209"/>
        <v>0</v>
      </c>
      <c r="N2573" s="35">
        <f t="shared" si="210"/>
        <v>0</v>
      </c>
      <c r="O2573" s="35">
        <f t="shared" si="211"/>
        <v>0</v>
      </c>
      <c r="P2573" s="35">
        <f t="shared" si="212"/>
        <v>0</v>
      </c>
    </row>
    <row r="2574" spans="12:16" ht="15" hidden="1" customHeight="1">
      <c r="L2574" s="43" t="str">
        <f t="shared" si="208"/>
        <v>-</v>
      </c>
      <c r="M2574" s="35">
        <f t="shared" si="209"/>
        <v>0</v>
      </c>
      <c r="N2574" s="35">
        <f t="shared" si="210"/>
        <v>0</v>
      </c>
      <c r="O2574" s="35">
        <f t="shared" si="211"/>
        <v>0</v>
      </c>
      <c r="P2574" s="35">
        <f t="shared" si="212"/>
        <v>0</v>
      </c>
    </row>
    <row r="2575" spans="12:16" ht="15" hidden="1" customHeight="1">
      <c r="L2575" s="43" t="str">
        <f t="shared" si="208"/>
        <v>-</v>
      </c>
      <c r="M2575" s="35">
        <f t="shared" si="209"/>
        <v>0</v>
      </c>
      <c r="N2575" s="35">
        <f t="shared" si="210"/>
        <v>0</v>
      </c>
      <c r="O2575" s="35">
        <f t="shared" si="211"/>
        <v>0</v>
      </c>
      <c r="P2575" s="35">
        <f t="shared" si="212"/>
        <v>0</v>
      </c>
    </row>
    <row r="2576" spans="12:16" ht="15" hidden="1" customHeight="1">
      <c r="L2576" s="43" t="str">
        <f t="shared" si="208"/>
        <v>-</v>
      </c>
      <c r="M2576" s="35">
        <f t="shared" si="209"/>
        <v>0</v>
      </c>
      <c r="N2576" s="35">
        <f t="shared" si="210"/>
        <v>0</v>
      </c>
      <c r="O2576" s="35">
        <f t="shared" si="211"/>
        <v>0</v>
      </c>
      <c r="P2576" s="35">
        <f t="shared" si="212"/>
        <v>0</v>
      </c>
    </row>
    <row r="2577" spans="12:16" ht="15" hidden="1" customHeight="1">
      <c r="L2577" s="43" t="str">
        <f t="shared" si="208"/>
        <v>-</v>
      </c>
      <c r="M2577" s="35">
        <f t="shared" si="209"/>
        <v>0</v>
      </c>
      <c r="N2577" s="35">
        <f t="shared" si="210"/>
        <v>0</v>
      </c>
      <c r="O2577" s="35">
        <f t="shared" si="211"/>
        <v>0</v>
      </c>
      <c r="P2577" s="35">
        <f t="shared" si="212"/>
        <v>0</v>
      </c>
    </row>
    <row r="2578" spans="12:16" ht="15" hidden="1" customHeight="1">
      <c r="L2578" s="43" t="str">
        <f t="shared" si="208"/>
        <v>-</v>
      </c>
      <c r="M2578" s="35">
        <f t="shared" si="209"/>
        <v>0</v>
      </c>
      <c r="N2578" s="35">
        <f t="shared" si="210"/>
        <v>0</v>
      </c>
      <c r="O2578" s="35">
        <f t="shared" si="211"/>
        <v>0</v>
      </c>
      <c r="P2578" s="35">
        <f t="shared" si="212"/>
        <v>0</v>
      </c>
    </row>
    <row r="2579" spans="12:16" ht="15" hidden="1" customHeight="1">
      <c r="L2579" s="43" t="str">
        <f t="shared" si="208"/>
        <v>-</v>
      </c>
      <c r="M2579" s="35">
        <f t="shared" si="209"/>
        <v>0</v>
      </c>
      <c r="N2579" s="35">
        <f t="shared" si="210"/>
        <v>0</v>
      </c>
      <c r="O2579" s="35">
        <f t="shared" si="211"/>
        <v>0</v>
      </c>
      <c r="P2579" s="35">
        <f t="shared" si="212"/>
        <v>0</v>
      </c>
    </row>
    <row r="2580" spans="12:16" ht="15" hidden="1" customHeight="1">
      <c r="L2580" s="43" t="str">
        <f t="shared" si="208"/>
        <v>-</v>
      </c>
      <c r="M2580" s="35">
        <f t="shared" si="209"/>
        <v>0</v>
      </c>
      <c r="N2580" s="35">
        <f t="shared" si="210"/>
        <v>0</v>
      </c>
      <c r="O2580" s="35">
        <f t="shared" si="211"/>
        <v>0</v>
      </c>
      <c r="P2580" s="35">
        <f t="shared" si="212"/>
        <v>0</v>
      </c>
    </row>
    <row r="2581" spans="12:16" ht="15" hidden="1" customHeight="1">
      <c r="L2581" s="43" t="str">
        <f t="shared" si="208"/>
        <v>-</v>
      </c>
      <c r="M2581" s="35">
        <f t="shared" si="209"/>
        <v>0</v>
      </c>
      <c r="N2581" s="35">
        <f t="shared" si="210"/>
        <v>0</v>
      </c>
      <c r="O2581" s="35">
        <f t="shared" si="211"/>
        <v>0</v>
      </c>
      <c r="P2581" s="35">
        <f t="shared" si="212"/>
        <v>0</v>
      </c>
    </row>
    <row r="2582" spans="12:16" ht="15" hidden="1" customHeight="1">
      <c r="L2582" s="43" t="str">
        <f t="shared" si="208"/>
        <v>-</v>
      </c>
      <c r="M2582" s="35">
        <f t="shared" si="209"/>
        <v>0</v>
      </c>
      <c r="N2582" s="35">
        <f t="shared" si="210"/>
        <v>0</v>
      </c>
      <c r="O2582" s="35">
        <f t="shared" si="211"/>
        <v>0</v>
      </c>
      <c r="P2582" s="35">
        <f t="shared" si="212"/>
        <v>0</v>
      </c>
    </row>
    <row r="2583" spans="12:16" ht="15" hidden="1" customHeight="1">
      <c r="L2583" s="43" t="str">
        <f t="shared" si="208"/>
        <v>-</v>
      </c>
      <c r="M2583" s="35">
        <f t="shared" si="209"/>
        <v>0</v>
      </c>
      <c r="N2583" s="35">
        <f t="shared" si="210"/>
        <v>0</v>
      </c>
      <c r="O2583" s="35">
        <f t="shared" si="211"/>
        <v>0</v>
      </c>
      <c r="P2583" s="35">
        <f t="shared" si="212"/>
        <v>0</v>
      </c>
    </row>
    <row r="2584" spans="12:16" ht="15" hidden="1" customHeight="1">
      <c r="L2584" s="43" t="str">
        <f t="shared" si="208"/>
        <v>-</v>
      </c>
      <c r="M2584" s="35">
        <f t="shared" si="209"/>
        <v>0</v>
      </c>
      <c r="N2584" s="35">
        <f t="shared" si="210"/>
        <v>0</v>
      </c>
      <c r="O2584" s="35">
        <f t="shared" si="211"/>
        <v>0</v>
      </c>
      <c r="P2584" s="35">
        <f t="shared" si="212"/>
        <v>0</v>
      </c>
    </row>
    <row r="2585" spans="12:16" ht="15" hidden="1" customHeight="1">
      <c r="L2585" s="43" t="str">
        <f t="shared" si="208"/>
        <v>-</v>
      </c>
      <c r="M2585" s="35">
        <f t="shared" si="209"/>
        <v>0</v>
      </c>
      <c r="N2585" s="35">
        <f t="shared" si="210"/>
        <v>0</v>
      </c>
      <c r="O2585" s="35">
        <f t="shared" si="211"/>
        <v>0</v>
      </c>
      <c r="P2585" s="35">
        <f t="shared" si="212"/>
        <v>0</v>
      </c>
    </row>
    <row r="2586" spans="12:16" ht="15" hidden="1" customHeight="1">
      <c r="L2586" s="43" t="str">
        <f t="shared" si="208"/>
        <v>-</v>
      </c>
      <c r="M2586" s="35">
        <f t="shared" si="209"/>
        <v>0</v>
      </c>
      <c r="N2586" s="35">
        <f t="shared" si="210"/>
        <v>0</v>
      </c>
      <c r="O2586" s="35">
        <f t="shared" si="211"/>
        <v>0</v>
      </c>
      <c r="P2586" s="35">
        <f t="shared" si="212"/>
        <v>0</v>
      </c>
    </row>
    <row r="2587" spans="12:16" ht="15" hidden="1" customHeight="1">
      <c r="L2587" s="43" t="str">
        <f t="shared" si="208"/>
        <v>-</v>
      </c>
      <c r="M2587" s="35">
        <f t="shared" si="209"/>
        <v>0</v>
      </c>
      <c r="N2587" s="35">
        <f t="shared" si="210"/>
        <v>0</v>
      </c>
      <c r="O2587" s="35">
        <f t="shared" si="211"/>
        <v>0</v>
      </c>
      <c r="P2587" s="35">
        <f t="shared" si="212"/>
        <v>0</v>
      </c>
    </row>
    <row r="2588" spans="12:16" ht="15" hidden="1" customHeight="1">
      <c r="M2588" s="45">
        <f>SUM(M31:M2587)</f>
        <v>30000</v>
      </c>
      <c r="O2588" s="45">
        <f>SUM(O31:O2587)</f>
        <v>1667.3122052549024</v>
      </c>
      <c r="P2588" s="45">
        <f>SUM(P31:P2587)</f>
        <v>3334.6244105098049</v>
      </c>
    </row>
    <row r="2589" spans="12:16" ht="15" hidden="1" customHeight="1"/>
    <row r="2590" spans="12:16" ht="15" hidden="1" customHeight="1"/>
    <row r="2591" spans="12:16" ht="15" hidden="1" customHeight="1"/>
    <row r="2592" spans="12:16" ht="15" hidden="1" customHeight="1"/>
    <row r="2593" ht="15" hidden="1" customHeight="1"/>
    <row r="2594" ht="15" hidden="1" customHeight="1"/>
    <row r="2595" ht="15" hidden="1" customHeight="1"/>
    <row r="2596" ht="15" hidden="1" customHeight="1"/>
    <row r="2597" ht="15" hidden="1" customHeight="1"/>
    <row r="2598" ht="15" hidden="1" customHeight="1"/>
    <row r="2599" ht="15" hidden="1" customHeight="1"/>
    <row r="2600" ht="15" hidden="1" customHeight="1"/>
    <row r="2601" ht="15" hidden="1" customHeight="1"/>
    <row r="2602" ht="15" hidden="1" customHeight="1"/>
    <row r="2603" ht="15" hidden="1" customHeight="1"/>
  </sheetData>
  <dataConsolidate link="1"/>
  <mergeCells count="22">
    <mergeCell ref="B28:F28"/>
    <mergeCell ref="I29:I30"/>
    <mergeCell ref="F29:F30"/>
    <mergeCell ref="D29:D30"/>
    <mergeCell ref="C29:C30"/>
    <mergeCell ref="H29:H30"/>
    <mergeCell ref="W29:W30"/>
    <mergeCell ref="B7:E7"/>
    <mergeCell ref="R29:R30"/>
    <mergeCell ref="S29:S30"/>
    <mergeCell ref="T29:T30"/>
    <mergeCell ref="U29:U30"/>
    <mergeCell ref="P29:P30"/>
    <mergeCell ref="L29:L30"/>
    <mergeCell ref="M29:M30"/>
    <mergeCell ref="N29:N30"/>
    <mergeCell ref="O29:O30"/>
    <mergeCell ref="E29:E30"/>
    <mergeCell ref="B29:B30"/>
    <mergeCell ref="G29:G30"/>
    <mergeCell ref="J29:J30"/>
    <mergeCell ref="G28:J28"/>
  </mergeCells>
  <conditionalFormatting sqref="D24:D25">
    <cfRule type="cellIs" dxfId="20" priority="9" operator="equal">
      <formula>"Q"</formula>
    </cfRule>
    <cfRule type="cellIs" dxfId="19" priority="10" operator="equal">
      <formula>"R"</formula>
    </cfRule>
  </conditionalFormatting>
  <conditionalFormatting sqref="D26">
    <cfRule type="cellIs" dxfId="18" priority="5" operator="equal">
      <formula>"Q"</formula>
    </cfRule>
    <cfRule type="cellIs" dxfId="17" priority="6" operator="equal">
      <formula>"R"</formula>
    </cfRule>
  </conditionalFormatting>
  <dataValidations count="3">
    <dataValidation type="list" allowBlank="1" showInputMessage="1" showErrorMessage="1" sqref="E26">
      <formula1>"да,нет"</formula1>
    </dataValidation>
    <dataValidation type="list" allowBlank="1" showInputMessage="1" showErrorMessage="1" sqref="E14:E15">
      <formula1>$Z$30:$Z$61</formula1>
    </dataValidation>
    <dataValidation type="list" allowBlank="1" showInputMessage="1" showErrorMessage="1" sqref="E11">
      <formula1>$W$31:$W$61</formula1>
    </dataValidation>
  </dataValidations>
  <pageMargins left="0.7" right="0.7" top="0.75" bottom="0.75" header="0.3" footer="0.3"/>
  <pageSetup paperSize="9" scale="56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'Программы финансирования'!$B$11:$B$24</xm:f>
          </x14:formula1>
          <xm:sqref>E19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6">
    <tabColor theme="8" tint="0.79998168889431442"/>
    <pageSetUpPr fitToPage="1"/>
  </sheetPr>
  <dimension ref="A1:BW1059"/>
  <sheetViews>
    <sheetView showGridLines="0" showRowColHeaders="0" zoomScale="85" zoomScaleNormal="85" workbookViewId="0">
      <pane xSplit="4" ySplit="7" topLeftCell="E35" activePane="bottomRight" state="frozen"/>
      <selection activeCell="E2" sqref="E2:H2"/>
      <selection pane="topRight" activeCell="E2" sqref="E2:H2"/>
      <selection pane="bottomLeft" activeCell="E2" sqref="E2:H2"/>
      <selection pane="bottomRight" activeCell="J40" sqref="J40"/>
    </sheetView>
  </sheetViews>
  <sheetFormatPr defaultColWidth="0" defaultRowHeight="15" customHeight="1" zeroHeight="1"/>
  <cols>
    <col min="1" max="1" width="2.7109375" style="51" customWidth="1"/>
    <col min="2" max="2" width="50.140625" style="51" customWidth="1"/>
    <col min="3" max="38" width="17.28515625" style="51" customWidth="1"/>
    <col min="39" max="39" width="2.85546875" style="51" customWidth="1"/>
    <col min="40" max="44" width="15.7109375" style="51" hidden="1" customWidth="1"/>
    <col min="45" max="45" width="2.85546875" style="51" hidden="1" customWidth="1"/>
    <col min="46" max="75" width="0" style="51" hidden="1" customWidth="1"/>
    <col min="76" max="16384" width="9.140625" style="51" hidden="1"/>
  </cols>
  <sheetData>
    <row r="1" spans="2:44" ht="15" customHeight="1"/>
    <row r="2" spans="2:44" ht="15" customHeight="1">
      <c r="I2" s="275" t="s">
        <v>316</v>
      </c>
      <c r="J2" s="276"/>
      <c r="K2" s="277"/>
    </row>
    <row r="3" spans="2:44" ht="15" customHeight="1">
      <c r="I3" s="148" t="s">
        <v>187</v>
      </c>
      <c r="J3" s="148" t="s">
        <v>28</v>
      </c>
      <c r="K3" s="148" t="s">
        <v>132</v>
      </c>
    </row>
    <row r="4" spans="2:44" ht="31.5">
      <c r="B4" s="56"/>
      <c r="D4" s="56"/>
      <c r="E4" s="149" t="s">
        <v>451</v>
      </c>
      <c r="F4" s="56"/>
      <c r="G4" s="56"/>
      <c r="H4" s="56"/>
      <c r="I4" s="56"/>
      <c r="J4" s="117"/>
      <c r="K4" s="117"/>
      <c r="L4" s="117"/>
      <c r="M4" s="117"/>
      <c r="N4" s="117"/>
      <c r="O4" s="117"/>
      <c r="P4" s="117"/>
      <c r="Q4" s="117"/>
      <c r="R4" s="117"/>
      <c r="S4" s="117"/>
      <c r="T4" s="117"/>
      <c r="U4" s="117"/>
      <c r="V4" s="117"/>
      <c r="W4" s="117"/>
      <c r="X4" s="117"/>
      <c r="Y4" s="117"/>
      <c r="Z4" s="117"/>
      <c r="AA4" s="117"/>
      <c r="AB4" s="117"/>
      <c r="AC4" s="117"/>
      <c r="AD4" s="117"/>
      <c r="AE4" s="117"/>
      <c r="AF4" s="117"/>
      <c r="AG4" s="117"/>
      <c r="AH4" s="117"/>
      <c r="AI4" s="117"/>
      <c r="AJ4" s="117"/>
      <c r="AK4" s="117"/>
      <c r="AL4" s="117"/>
      <c r="AM4" s="117"/>
      <c r="AN4" s="117"/>
      <c r="AO4" s="117"/>
      <c r="AP4" s="117"/>
      <c r="AQ4" s="117"/>
      <c r="AR4" s="117"/>
    </row>
    <row r="5" spans="2:44" ht="15" customHeight="1">
      <c r="B5" s="306" t="s">
        <v>8</v>
      </c>
      <c r="C5" s="306" t="s">
        <v>12</v>
      </c>
      <c r="D5" s="306"/>
      <c r="E5" s="104" t="s">
        <v>427</v>
      </c>
      <c r="F5" s="104" t="s">
        <v>427</v>
      </c>
      <c r="G5" s="104" t="s">
        <v>427</v>
      </c>
      <c r="H5" s="104" t="s">
        <v>427</v>
      </c>
      <c r="I5" s="104" t="s">
        <v>427</v>
      </c>
      <c r="J5" s="50" t="s">
        <v>426</v>
      </c>
      <c r="K5" s="50" t="s">
        <v>426</v>
      </c>
      <c r="L5" s="50" t="s">
        <v>426</v>
      </c>
      <c r="M5" s="50" t="s">
        <v>426</v>
      </c>
      <c r="N5" s="50" t="s">
        <v>426</v>
      </c>
      <c r="O5" s="50" t="s">
        <v>426</v>
      </c>
      <c r="P5" s="50" t="s">
        <v>426</v>
      </c>
      <c r="Q5" s="50" t="s">
        <v>426</v>
      </c>
      <c r="R5" s="50" t="s">
        <v>426</v>
      </c>
      <c r="S5" s="50" t="s">
        <v>426</v>
      </c>
      <c r="T5" s="50" t="s">
        <v>426</v>
      </c>
      <c r="U5" s="50" t="s">
        <v>426</v>
      </c>
      <c r="V5" s="50" t="s">
        <v>426</v>
      </c>
      <c r="W5" s="50" t="s">
        <v>426</v>
      </c>
      <c r="X5" s="50" t="s">
        <v>426</v>
      </c>
      <c r="Y5" s="50" t="s">
        <v>426</v>
      </c>
      <c r="Z5" s="50" t="s">
        <v>426</v>
      </c>
      <c r="AA5" s="50" t="s">
        <v>426</v>
      </c>
      <c r="AB5" s="50" t="s">
        <v>426</v>
      </c>
      <c r="AC5" s="50" t="s">
        <v>426</v>
      </c>
      <c r="AD5" s="50" t="s">
        <v>426</v>
      </c>
      <c r="AE5" s="50" t="s">
        <v>426</v>
      </c>
      <c r="AF5" s="50" t="s">
        <v>426</v>
      </c>
      <c r="AG5" s="50" t="s">
        <v>426</v>
      </c>
      <c r="AH5" s="50" t="s">
        <v>426</v>
      </c>
      <c r="AI5" s="50" t="s">
        <v>426</v>
      </c>
      <c r="AJ5" s="50" t="s">
        <v>426</v>
      </c>
      <c r="AK5" s="50" t="s">
        <v>426</v>
      </c>
      <c r="AL5" s="50" t="s">
        <v>426</v>
      </c>
    </row>
    <row r="6" spans="2:44" ht="15" customHeight="1">
      <c r="B6" s="307"/>
      <c r="C6" s="307"/>
      <c r="D6" s="307"/>
      <c r="E6" s="105">
        <f>DATE(YEAR(F6)-1,MONTH(F6),DAY(F6))</f>
        <v>43101</v>
      </c>
      <c r="F6" s="105">
        <f>DATE(YEAR(G6)-1,MONTH(G6),DAY(G6))</f>
        <v>43466</v>
      </c>
      <c r="G6" s="105">
        <f>DATE(YEAR(I6)-1,MONTH(I6),DAY(I6))</f>
        <v>43831</v>
      </c>
      <c r="H6" s="105">
        <f>DATE(YEAR(I6)-1,MONTH(I6),DAY(I6))</f>
        <v>43831</v>
      </c>
      <c r="I6" s="105">
        <f>DATE(IF(MONTH(J6)=1,YEAR(J6)-1,YEAR(J6)),1,1)</f>
        <v>44197</v>
      </c>
      <c r="J6" s="103">
        <f>IF(AND(I$5="ФАКТ",J$5="ПРОГНОЗ"),'Параметры займа'!$J$9,I7+1)</f>
        <v>44470</v>
      </c>
      <c r="K6" s="103">
        <f>IF(AND(J$5="ФАКТ",K$5="ПРОГНОЗ"),'Параметры займа'!$J$9,J7+1)</f>
        <v>44562</v>
      </c>
      <c r="L6" s="103">
        <f>IF(AND(K$5="ФАКТ",L$5="ПРОГНОЗ"),'Параметры займа'!$J$9,K7+1)</f>
        <v>44652</v>
      </c>
      <c r="M6" s="103">
        <f>IF(AND(L$5="ФАКТ",M$5="ПРОГНОЗ"),'Параметры займа'!$J$9,L7+1)</f>
        <v>44743</v>
      </c>
      <c r="N6" s="103">
        <f>IF(AND(M$5="ФАКТ",N$5="ПРОГНОЗ"),'Параметры займа'!$J$9,M7+1)</f>
        <v>44835</v>
      </c>
      <c r="O6" s="103">
        <f>IF(AND(N$5="ФАКТ",O$5="ПРОГНОЗ"),'Параметры займа'!$J$9,N7+1)</f>
        <v>44927</v>
      </c>
      <c r="P6" s="103">
        <f>IF(AND(O$5="ФАКТ",P$5="ПРОГНОЗ"),'Параметры займа'!$J$9,O7+1)</f>
        <v>45017</v>
      </c>
      <c r="Q6" s="103">
        <f>IF(AND(P$5="ФАКТ",Q$5="ПРОГНОЗ"),'Параметры займа'!$J$9,P7+1)</f>
        <v>45108</v>
      </c>
      <c r="R6" s="103">
        <f>IF(AND(Q$5="ФАКТ",R$5="ПРОГНОЗ"),'Параметры займа'!$J$9,Q7+1)</f>
        <v>45200</v>
      </c>
      <c r="S6" s="103">
        <f>IF(AND(R$5="ФАКТ",S$5="ПРОГНОЗ"),'Параметры займа'!$J$9,R7+1)</f>
        <v>45292</v>
      </c>
      <c r="T6" s="103">
        <f>IF(AND(S$5="ФАКТ",T$5="ПРОГНОЗ"),'Параметры займа'!$J$9,S7+1)</f>
        <v>45383</v>
      </c>
      <c r="U6" s="103">
        <f>IF(AND(T$5="ФАКТ",U$5="ПРОГНОЗ"),'Параметры займа'!$J$9,T7+1)</f>
        <v>45474</v>
      </c>
      <c r="V6" s="103">
        <f>IF(AND(U$5="ФАКТ",V$5="ПРОГНОЗ"),'Параметры займа'!$J$9,U7+1)</f>
        <v>45566</v>
      </c>
      <c r="W6" s="103">
        <f>IF(AND(V$5="ФАКТ",W$5="ПРОГНОЗ"),'Параметры займа'!$J$9,V7+1)</f>
        <v>45658</v>
      </c>
      <c r="X6" s="103">
        <f>IF(AND(W$5="ФАКТ",X$5="ПРОГНОЗ"),'Параметры займа'!$J$9,W7+1)</f>
        <v>45748</v>
      </c>
      <c r="Y6" s="103">
        <f>IF(AND(X$5="ФАКТ",Y$5="ПРОГНОЗ"),'Параметры займа'!$J$9,X7+1)</f>
        <v>45839</v>
      </c>
      <c r="Z6" s="103">
        <f>IF(AND(Y$5="ФАКТ",Z$5="ПРОГНОЗ"),'Параметры займа'!$J$9,Y7+1)</f>
        <v>45931</v>
      </c>
      <c r="AA6" s="103">
        <f>IF(AND(Z$5="ФАКТ",AA$5="ПРОГНОЗ"),'Параметры займа'!$J$9,Z7+1)</f>
        <v>46023</v>
      </c>
      <c r="AB6" s="103">
        <f>IF(AND(AA$5="ФАКТ",AB$5="ПРОГНОЗ"),'Параметры займа'!$J$9,AA7+1)</f>
        <v>46113</v>
      </c>
      <c r="AC6" s="103">
        <f>IF(AND(AB$5="ФАКТ",AC$5="ПРОГНОЗ"),'Параметры займа'!$J$9,AB7+1)</f>
        <v>46204</v>
      </c>
      <c r="AD6" s="103">
        <f>IF(AND(AC$5="ФАКТ",AD$5="ПРОГНОЗ"),'Параметры займа'!$J$9,AC7+1)</f>
        <v>46296</v>
      </c>
      <c r="AE6" s="103">
        <f>IF(AND(AD$5="ФАКТ",AE$5="ПРОГНОЗ"),'Параметры займа'!$J$9,AD7+1)</f>
        <v>46388</v>
      </c>
      <c r="AF6" s="103">
        <f>IF(AND(AE$5="ФАКТ",AF$5="ПРОГНОЗ"),'Параметры займа'!$J$9,AE7+1)</f>
        <v>46478</v>
      </c>
      <c r="AG6" s="103">
        <f>IF(AND(AF$5="ФАКТ",AG$5="ПРОГНОЗ"),'Параметры займа'!$J$9,AF7+1)</f>
        <v>46569</v>
      </c>
      <c r="AH6" s="103">
        <f>IF(AND(AG$5="ФАКТ",AH$5="ПРОГНОЗ"),'Параметры займа'!$J$9,AG7+1)</f>
        <v>46661</v>
      </c>
      <c r="AI6" s="103">
        <f>IF(AND(AH$5="ФАКТ",AI$5="ПРОГНОЗ"),'Параметры займа'!$J$9,AH7+1)</f>
        <v>46753</v>
      </c>
      <c r="AJ6" s="103">
        <f>IF(AND(AI$5="ФАКТ",AJ$5="ПРОГНОЗ"),'Параметры займа'!$J$9,AI7+1)</f>
        <v>46844</v>
      </c>
      <c r="AK6" s="103">
        <f>IF(AND(AJ$5="ФАКТ",AK$5="ПРОГНОЗ"),'Параметры займа'!$J$9,AJ7+1)</f>
        <v>46935</v>
      </c>
      <c r="AL6" s="103">
        <f>IF(AND(AK$5="ФАКТ",AL$5="ПРОГНОЗ"),'Параметры займа'!$J$9,AK7+1)</f>
        <v>47027</v>
      </c>
    </row>
    <row r="7" spans="2:44" ht="15" customHeight="1">
      <c r="B7" s="308"/>
      <c r="C7" s="308"/>
      <c r="D7" s="308"/>
      <c r="E7" s="105">
        <f>DATE(YEAR(F7)-1,MONTH(F7),DAY(F7))</f>
        <v>43465</v>
      </c>
      <c r="F7" s="105">
        <f>DATE(YEAR(G7)-1,MONTH(G7),DAY(G7))</f>
        <v>43830</v>
      </c>
      <c r="G7" s="105">
        <f>I6-1</f>
        <v>44196</v>
      </c>
      <c r="H7" s="105">
        <f>EOMONTH(I7,-12)</f>
        <v>44104</v>
      </c>
      <c r="I7" s="105">
        <f>J6-1</f>
        <v>44469</v>
      </c>
      <c r="J7" s="103">
        <f t="shared" ref="J7" si="0">EOMONTH(J6,Месяцев_в_квартале-1)</f>
        <v>44561</v>
      </c>
      <c r="K7" s="103">
        <f t="shared" ref="K7:AB7" si="1">EOMONTH(K6,Месяцев_в_квартале-1)</f>
        <v>44651</v>
      </c>
      <c r="L7" s="103">
        <f t="shared" si="1"/>
        <v>44742</v>
      </c>
      <c r="M7" s="103">
        <f t="shared" si="1"/>
        <v>44834</v>
      </c>
      <c r="N7" s="103">
        <f t="shared" si="1"/>
        <v>44926</v>
      </c>
      <c r="O7" s="103">
        <f t="shared" si="1"/>
        <v>45016</v>
      </c>
      <c r="P7" s="103">
        <f t="shared" si="1"/>
        <v>45107</v>
      </c>
      <c r="Q7" s="103">
        <f t="shared" si="1"/>
        <v>45199</v>
      </c>
      <c r="R7" s="103">
        <f t="shared" si="1"/>
        <v>45291</v>
      </c>
      <c r="S7" s="103">
        <f t="shared" si="1"/>
        <v>45382</v>
      </c>
      <c r="T7" s="103">
        <f t="shared" si="1"/>
        <v>45473</v>
      </c>
      <c r="U7" s="103">
        <f t="shared" si="1"/>
        <v>45565</v>
      </c>
      <c r="V7" s="103">
        <f t="shared" si="1"/>
        <v>45657</v>
      </c>
      <c r="W7" s="103">
        <f t="shared" si="1"/>
        <v>45747</v>
      </c>
      <c r="X7" s="103">
        <f t="shared" si="1"/>
        <v>45838</v>
      </c>
      <c r="Y7" s="103">
        <f t="shared" si="1"/>
        <v>45930</v>
      </c>
      <c r="Z7" s="103">
        <f t="shared" si="1"/>
        <v>46022</v>
      </c>
      <c r="AA7" s="103">
        <f t="shared" si="1"/>
        <v>46112</v>
      </c>
      <c r="AB7" s="103">
        <f t="shared" si="1"/>
        <v>46203</v>
      </c>
      <c r="AC7" s="103">
        <f t="shared" ref="AC7:AL7" si="2">EOMONTH(AC6,Месяцев_в_квартале-1)</f>
        <v>46295</v>
      </c>
      <c r="AD7" s="103">
        <f t="shared" si="2"/>
        <v>46387</v>
      </c>
      <c r="AE7" s="103">
        <f t="shared" si="2"/>
        <v>46477</v>
      </c>
      <c r="AF7" s="103">
        <f t="shared" si="2"/>
        <v>46568</v>
      </c>
      <c r="AG7" s="103">
        <f t="shared" si="2"/>
        <v>46660</v>
      </c>
      <c r="AH7" s="103">
        <f t="shared" si="2"/>
        <v>46752</v>
      </c>
      <c r="AI7" s="103">
        <f t="shared" si="2"/>
        <v>46843</v>
      </c>
      <c r="AJ7" s="103">
        <f t="shared" si="2"/>
        <v>46934</v>
      </c>
      <c r="AK7" s="103">
        <f t="shared" si="2"/>
        <v>47026</v>
      </c>
      <c r="AL7" s="103">
        <f t="shared" si="2"/>
        <v>47118</v>
      </c>
    </row>
    <row r="8" spans="2:44" ht="15" customHeight="1"/>
    <row r="9" spans="2:44" ht="15" customHeight="1">
      <c r="B9" s="150" t="s">
        <v>186</v>
      </c>
      <c r="C9" s="151"/>
      <c r="D9" s="152"/>
      <c r="E9" s="153">
        <f t="shared" ref="E9:I9" si="3">YEAR(E7)</f>
        <v>2018</v>
      </c>
      <c r="F9" s="153">
        <f t="shared" si="3"/>
        <v>2019</v>
      </c>
      <c r="G9" s="153">
        <f t="shared" si="3"/>
        <v>2020</v>
      </c>
      <c r="H9" s="153">
        <f t="shared" si="3"/>
        <v>2020</v>
      </c>
      <c r="I9" s="153">
        <f t="shared" si="3"/>
        <v>2021</v>
      </c>
      <c r="J9" s="153">
        <f>YEAR(J7)</f>
        <v>2021</v>
      </c>
      <c r="K9" s="153">
        <f t="shared" ref="K9:AK9" si="4">YEAR(K7)</f>
        <v>2022</v>
      </c>
      <c r="L9" s="153">
        <f t="shared" si="4"/>
        <v>2022</v>
      </c>
      <c r="M9" s="153">
        <f t="shared" si="4"/>
        <v>2022</v>
      </c>
      <c r="N9" s="153">
        <f t="shared" si="4"/>
        <v>2022</v>
      </c>
      <c r="O9" s="153">
        <f t="shared" si="4"/>
        <v>2023</v>
      </c>
      <c r="P9" s="153">
        <f t="shared" si="4"/>
        <v>2023</v>
      </c>
      <c r="Q9" s="153">
        <f t="shared" si="4"/>
        <v>2023</v>
      </c>
      <c r="R9" s="153">
        <f t="shared" si="4"/>
        <v>2023</v>
      </c>
      <c r="S9" s="153">
        <f t="shared" si="4"/>
        <v>2024</v>
      </c>
      <c r="T9" s="153">
        <f t="shared" si="4"/>
        <v>2024</v>
      </c>
      <c r="U9" s="153">
        <f t="shared" si="4"/>
        <v>2024</v>
      </c>
      <c r="V9" s="153">
        <f t="shared" si="4"/>
        <v>2024</v>
      </c>
      <c r="W9" s="153">
        <f t="shared" si="4"/>
        <v>2025</v>
      </c>
      <c r="X9" s="153">
        <f t="shared" si="4"/>
        <v>2025</v>
      </c>
      <c r="Y9" s="153">
        <f t="shared" si="4"/>
        <v>2025</v>
      </c>
      <c r="Z9" s="153">
        <f t="shared" si="4"/>
        <v>2025</v>
      </c>
      <c r="AA9" s="153">
        <f t="shared" si="4"/>
        <v>2026</v>
      </c>
      <c r="AB9" s="153">
        <f t="shared" si="4"/>
        <v>2026</v>
      </c>
      <c r="AC9" s="153">
        <f t="shared" si="4"/>
        <v>2026</v>
      </c>
      <c r="AD9" s="153">
        <f t="shared" si="4"/>
        <v>2026</v>
      </c>
      <c r="AE9" s="153">
        <f t="shared" si="4"/>
        <v>2027</v>
      </c>
      <c r="AF9" s="153">
        <f t="shared" si="4"/>
        <v>2027</v>
      </c>
      <c r="AG9" s="153">
        <f t="shared" si="4"/>
        <v>2027</v>
      </c>
      <c r="AH9" s="153">
        <f t="shared" si="4"/>
        <v>2027</v>
      </c>
      <c r="AI9" s="153">
        <f t="shared" si="4"/>
        <v>2028</v>
      </c>
      <c r="AJ9" s="153">
        <f t="shared" si="4"/>
        <v>2028</v>
      </c>
      <c r="AK9" s="153">
        <f t="shared" si="4"/>
        <v>2028</v>
      </c>
      <c r="AL9" s="153">
        <f t="shared" ref="AL9" si="5">YEAR(AL7)</f>
        <v>2028</v>
      </c>
    </row>
    <row r="10" spans="2:44" ht="15" customHeight="1">
      <c r="B10" s="150" t="s">
        <v>439</v>
      </c>
      <c r="C10" s="151"/>
      <c r="D10" s="152"/>
      <c r="E10" s="153" t="str">
        <f>"1-4 кв. "&amp;YEAR(E7)</f>
        <v>1-4 кв. 2018</v>
      </c>
      <c r="F10" s="153" t="str">
        <f t="shared" ref="F10:G10" si="6">"1-4 кв. "&amp;YEAR(F7)</f>
        <v>1-4 кв. 2019</v>
      </c>
      <c r="G10" s="153" t="str">
        <f t="shared" si="6"/>
        <v>1-4 кв. 2020</v>
      </c>
      <c r="H10" s="153" t="str">
        <f>IF(MONTH(H7)=3,"1 кв. ",IF(MONTH(H7)=6,"1-2 кв. ",IF(MONTH(H7)=9,"1-3 кв. ","1-4 кв. ")))&amp;YEAR(H7)</f>
        <v>1-3 кв. 2020</v>
      </c>
      <c r="I10" s="153" t="str">
        <f>IF(MONTH(I7)=3,"1 кв. ",IF(MONTH(I7)=6,"1-2 кв. ",IF(MONTH(I7)=9,"1-3 кв. ","1-4 кв. ")))&amp;YEAR(I7)</f>
        <v>1-3 кв. 2021</v>
      </c>
      <c r="J10" s="153" t="str">
        <f>IF(MONTH(J7)=3,1,IF(MONTH(J7)=6,2,IF(MONTH(J7)=9,3,4)))&amp;" кв. "&amp;YEAR(J7)</f>
        <v>4 кв. 2021</v>
      </c>
      <c r="K10" s="153" t="str">
        <f t="shared" ref="K10:AL10" si="7">IF(MONTH(K7)=3,1,IF(MONTH(K7)=6,2,IF(MONTH(K7)=9,3,4)))&amp;" кв. "&amp;YEAR(K7)</f>
        <v>1 кв. 2022</v>
      </c>
      <c r="L10" s="153" t="str">
        <f t="shared" si="7"/>
        <v>2 кв. 2022</v>
      </c>
      <c r="M10" s="153" t="str">
        <f t="shared" si="7"/>
        <v>3 кв. 2022</v>
      </c>
      <c r="N10" s="153" t="str">
        <f t="shared" si="7"/>
        <v>4 кв. 2022</v>
      </c>
      <c r="O10" s="153" t="str">
        <f t="shared" si="7"/>
        <v>1 кв. 2023</v>
      </c>
      <c r="P10" s="153" t="str">
        <f t="shared" si="7"/>
        <v>2 кв. 2023</v>
      </c>
      <c r="Q10" s="153" t="str">
        <f t="shared" si="7"/>
        <v>3 кв. 2023</v>
      </c>
      <c r="R10" s="153" t="str">
        <f t="shared" si="7"/>
        <v>4 кв. 2023</v>
      </c>
      <c r="S10" s="153" t="str">
        <f t="shared" si="7"/>
        <v>1 кв. 2024</v>
      </c>
      <c r="T10" s="153" t="str">
        <f t="shared" si="7"/>
        <v>2 кв. 2024</v>
      </c>
      <c r="U10" s="153" t="str">
        <f t="shared" si="7"/>
        <v>3 кв. 2024</v>
      </c>
      <c r="V10" s="153" t="str">
        <f t="shared" si="7"/>
        <v>4 кв. 2024</v>
      </c>
      <c r="W10" s="153" t="str">
        <f t="shared" si="7"/>
        <v>1 кв. 2025</v>
      </c>
      <c r="X10" s="153" t="str">
        <f t="shared" si="7"/>
        <v>2 кв. 2025</v>
      </c>
      <c r="Y10" s="153" t="str">
        <f t="shared" si="7"/>
        <v>3 кв. 2025</v>
      </c>
      <c r="Z10" s="153" t="str">
        <f t="shared" si="7"/>
        <v>4 кв. 2025</v>
      </c>
      <c r="AA10" s="153" t="str">
        <f t="shared" si="7"/>
        <v>1 кв. 2026</v>
      </c>
      <c r="AB10" s="153" t="str">
        <f t="shared" si="7"/>
        <v>2 кв. 2026</v>
      </c>
      <c r="AC10" s="153" t="str">
        <f t="shared" si="7"/>
        <v>3 кв. 2026</v>
      </c>
      <c r="AD10" s="153" t="str">
        <f t="shared" si="7"/>
        <v>4 кв. 2026</v>
      </c>
      <c r="AE10" s="153" t="str">
        <f t="shared" si="7"/>
        <v>1 кв. 2027</v>
      </c>
      <c r="AF10" s="153" t="str">
        <f t="shared" si="7"/>
        <v>2 кв. 2027</v>
      </c>
      <c r="AG10" s="153" t="str">
        <f t="shared" si="7"/>
        <v>3 кв. 2027</v>
      </c>
      <c r="AH10" s="153" t="str">
        <f t="shared" si="7"/>
        <v>4 кв. 2027</v>
      </c>
      <c r="AI10" s="153" t="str">
        <f t="shared" si="7"/>
        <v>1 кв. 2028</v>
      </c>
      <c r="AJ10" s="153" t="str">
        <f t="shared" si="7"/>
        <v>2 кв. 2028</v>
      </c>
      <c r="AK10" s="153" t="str">
        <f t="shared" si="7"/>
        <v>3 кв. 2028</v>
      </c>
      <c r="AL10" s="153" t="str">
        <f t="shared" si="7"/>
        <v>4 кв. 2028</v>
      </c>
    </row>
    <row r="11" spans="2:44" ht="15" customHeight="1">
      <c r="B11" s="150" t="s">
        <v>478</v>
      </c>
      <c r="C11" s="151"/>
      <c r="D11" s="152"/>
      <c r="E11" s="153"/>
      <c r="F11" s="153"/>
      <c r="G11" s="153"/>
      <c r="H11" s="153"/>
      <c r="I11" s="153"/>
      <c r="J11" s="153" t="str">
        <f>LEFT(J10)</f>
        <v>4</v>
      </c>
      <c r="K11" s="153" t="str">
        <f t="shared" ref="K11:AL11" si="8">LEFT(K10)</f>
        <v>1</v>
      </c>
      <c r="L11" s="153" t="str">
        <f t="shared" si="8"/>
        <v>2</v>
      </c>
      <c r="M11" s="153" t="str">
        <f t="shared" si="8"/>
        <v>3</v>
      </c>
      <c r="N11" s="153" t="str">
        <f t="shared" si="8"/>
        <v>4</v>
      </c>
      <c r="O11" s="153" t="str">
        <f t="shared" si="8"/>
        <v>1</v>
      </c>
      <c r="P11" s="153" t="str">
        <f t="shared" si="8"/>
        <v>2</v>
      </c>
      <c r="Q11" s="153" t="str">
        <f t="shared" si="8"/>
        <v>3</v>
      </c>
      <c r="R11" s="153" t="str">
        <f t="shared" si="8"/>
        <v>4</v>
      </c>
      <c r="S11" s="153" t="str">
        <f t="shared" si="8"/>
        <v>1</v>
      </c>
      <c r="T11" s="153" t="str">
        <f t="shared" si="8"/>
        <v>2</v>
      </c>
      <c r="U11" s="153" t="str">
        <f t="shared" si="8"/>
        <v>3</v>
      </c>
      <c r="V11" s="153" t="str">
        <f t="shared" si="8"/>
        <v>4</v>
      </c>
      <c r="W11" s="153" t="str">
        <f t="shared" si="8"/>
        <v>1</v>
      </c>
      <c r="X11" s="153" t="str">
        <f t="shared" si="8"/>
        <v>2</v>
      </c>
      <c r="Y11" s="153" t="str">
        <f t="shared" si="8"/>
        <v>3</v>
      </c>
      <c r="Z11" s="153" t="str">
        <f t="shared" si="8"/>
        <v>4</v>
      </c>
      <c r="AA11" s="153" t="str">
        <f t="shared" si="8"/>
        <v>1</v>
      </c>
      <c r="AB11" s="153" t="str">
        <f t="shared" si="8"/>
        <v>2</v>
      </c>
      <c r="AC11" s="153" t="str">
        <f t="shared" si="8"/>
        <v>3</v>
      </c>
      <c r="AD11" s="153" t="str">
        <f t="shared" si="8"/>
        <v>4</v>
      </c>
      <c r="AE11" s="153" t="str">
        <f t="shared" si="8"/>
        <v>1</v>
      </c>
      <c r="AF11" s="153" t="str">
        <f t="shared" si="8"/>
        <v>2</v>
      </c>
      <c r="AG11" s="153" t="str">
        <f t="shared" si="8"/>
        <v>3</v>
      </c>
      <c r="AH11" s="153" t="str">
        <f t="shared" si="8"/>
        <v>4</v>
      </c>
      <c r="AI11" s="153" t="str">
        <f t="shared" si="8"/>
        <v>1</v>
      </c>
      <c r="AJ11" s="153" t="str">
        <f t="shared" si="8"/>
        <v>2</v>
      </c>
      <c r="AK11" s="153" t="str">
        <f t="shared" si="8"/>
        <v>3</v>
      </c>
      <c r="AL11" s="153" t="str">
        <f t="shared" si="8"/>
        <v>4</v>
      </c>
    </row>
    <row r="12" spans="2:44" ht="15" customHeight="1">
      <c r="B12" s="150" t="str">
        <f>"Период займа "&amp;IF(ISNUMBER(SEARCH("РФРП",Программа)),"ФРП и РФРП","ФРП")</f>
        <v>Период займа ФРП</v>
      </c>
      <c r="C12" s="151"/>
      <c r="D12" s="152"/>
      <c r="E12" s="153">
        <f>IF(AND(E6&gt;='Параметры займа'!$J$9,E7&lt;='Параметры займа'!$J$11),1,0)</f>
        <v>0</v>
      </c>
      <c r="F12" s="153">
        <f>IF(AND(F6&gt;='Параметры займа'!$J$9,F7&lt;='Параметры займа'!$J$11),1,0)</f>
        <v>0</v>
      </c>
      <c r="G12" s="153">
        <f>IF(AND(G6&gt;='Параметры займа'!$J$9,G7&lt;='Параметры займа'!$J$11),1,0)</f>
        <v>0</v>
      </c>
      <c r="H12" s="153">
        <f>IF(AND(H6&gt;='Параметры займа'!$J$9,H7&lt;='Параметры займа'!$J$11),1,0)</f>
        <v>0</v>
      </c>
      <c r="I12" s="153">
        <f>IF(AND(I6&gt;='Параметры займа'!$J$9,I7&lt;='Параметры займа'!$J$11),1,0)</f>
        <v>0</v>
      </c>
      <c r="J12" s="153">
        <f>IF(AND(J6&gt;='Параметры займа'!$J$9,J7&lt;='Параметры займа'!$J$11),1,0)</f>
        <v>1</v>
      </c>
      <c r="K12" s="153">
        <f>IF(AND(K6&gt;='Параметры займа'!$J$9,K7&lt;='Параметры займа'!$J$11),1,0)</f>
        <v>1</v>
      </c>
      <c r="L12" s="153">
        <f>IF(AND(L6&gt;='Параметры займа'!$J$9,L7&lt;='Параметры займа'!$J$11),1,0)</f>
        <v>1</v>
      </c>
      <c r="M12" s="153">
        <f>IF(AND(M6&gt;='Параметры займа'!$J$9,M7&lt;='Параметры займа'!$J$11),1,0)</f>
        <v>1</v>
      </c>
      <c r="N12" s="153">
        <f>IF(AND(N6&gt;='Параметры займа'!$J$9,N7&lt;='Параметры займа'!$J$11),1,0)</f>
        <v>1</v>
      </c>
      <c r="O12" s="153">
        <f>IF(AND(O6&gt;='Параметры займа'!$J$9,O7&lt;='Параметры займа'!$J$11),1,0)</f>
        <v>1</v>
      </c>
      <c r="P12" s="153">
        <f>IF(AND(P6&gt;='Параметры займа'!$J$9,P7&lt;='Параметры займа'!$J$11),1,0)</f>
        <v>1</v>
      </c>
      <c r="Q12" s="153">
        <f>IF(AND(Q6&gt;='Параметры займа'!$J$9,Q7&lt;='Параметры займа'!$J$11),1,0)</f>
        <v>1</v>
      </c>
      <c r="R12" s="153">
        <f>IF(AND(R6&gt;='Параметры займа'!$J$9,R7&lt;='Параметры займа'!$J$11),1,0)</f>
        <v>1</v>
      </c>
      <c r="S12" s="153">
        <f>IF(AND(S6&gt;='Параметры займа'!$J$9,S7&lt;='Параметры займа'!$J$11),1,0)</f>
        <v>1</v>
      </c>
      <c r="T12" s="153">
        <f>IF(AND(T6&gt;='Параметры займа'!$J$9,T7&lt;='Параметры займа'!$J$11),1,0)</f>
        <v>1</v>
      </c>
      <c r="U12" s="153">
        <f>IF(AND(U6&gt;='Параметры займа'!$J$9,U7&lt;='Параметры займа'!$J$11),1,0)</f>
        <v>1</v>
      </c>
      <c r="V12" s="153">
        <f>IF(AND(V6&gt;='Параметры займа'!$J$9,V7&lt;='Параметры займа'!$J$11),1,0)</f>
        <v>1</v>
      </c>
      <c r="W12" s="153">
        <f>IF(AND(W6&gt;='Параметры займа'!$J$9,W7&lt;='Параметры займа'!$J$11),1,0)</f>
        <v>1</v>
      </c>
      <c r="X12" s="153">
        <f>IF(AND(X6&gt;='Параметры займа'!$J$9,X7&lt;='Параметры займа'!$J$11),1,0)</f>
        <v>1</v>
      </c>
      <c r="Y12" s="153">
        <f>IF(AND(Y6&gt;='Параметры займа'!$J$9,Y7&lt;='Параметры займа'!$J$11),1,0)</f>
        <v>1</v>
      </c>
      <c r="Z12" s="153">
        <f>IF(AND(Z6&gt;='Параметры займа'!$J$9,Z7&lt;='Параметры займа'!$J$11),1,0)</f>
        <v>1</v>
      </c>
      <c r="AA12" s="153">
        <f>IF(AND(AA6&gt;='Параметры займа'!$J$9,AA7&lt;='Параметры займа'!$J$11),1,0)</f>
        <v>1</v>
      </c>
      <c r="AB12" s="153">
        <f>IF(AND(AB6&gt;='Параметры займа'!$J$9,AB7&lt;='Параметры займа'!$J$11),1,0)</f>
        <v>1</v>
      </c>
      <c r="AC12" s="153">
        <f>IF(AND(AC6&gt;='Параметры займа'!$J$9,AC7&lt;='Параметры займа'!$J$11),1,0)</f>
        <v>1</v>
      </c>
      <c r="AD12" s="153">
        <f>IF(AND(AD6&gt;='Параметры займа'!$J$9,AD7&lt;='Параметры займа'!$J$11),1,0)</f>
        <v>1</v>
      </c>
      <c r="AE12" s="153">
        <f>IF(AND(AE6&gt;='Параметры займа'!$J$9,AE7&lt;='Параметры займа'!$J$11),1,0)</f>
        <v>0</v>
      </c>
      <c r="AF12" s="153">
        <f>IF(AND(AF6&gt;='Параметры займа'!$J$9,AF7&lt;='Параметры займа'!$J$11),1,0)</f>
        <v>0</v>
      </c>
      <c r="AG12" s="153">
        <f>IF(AND(AG6&gt;='Параметры займа'!$J$9,AG7&lt;='Параметры займа'!$J$11),1,0)</f>
        <v>0</v>
      </c>
      <c r="AH12" s="153">
        <f>IF(AND(AH6&gt;='Параметры займа'!$J$9,AH7&lt;='Параметры займа'!$J$11),1,0)</f>
        <v>0</v>
      </c>
      <c r="AI12" s="153">
        <f>IF(AND(AI6&gt;='Параметры займа'!$J$9,AI7&lt;='Параметры займа'!$J$11),1,0)</f>
        <v>0</v>
      </c>
      <c r="AJ12" s="153">
        <f>IF(AND(AJ6&gt;='Параметры займа'!$J$9,AJ7&lt;='Параметры займа'!$J$11),1,0)</f>
        <v>0</v>
      </c>
      <c r="AK12" s="153">
        <f>IF(AND(AK6&gt;='Параметры займа'!$J$9,AK7&lt;='Параметры займа'!$J$11),1,0)</f>
        <v>0</v>
      </c>
      <c r="AL12" s="153">
        <f>IF(AND(AL6&gt;='Параметры займа'!$J$9,AL7&lt;='Параметры займа'!$J$11),1,0)</f>
        <v>0</v>
      </c>
    </row>
    <row r="13" spans="2:44" ht="15" customHeight="1"/>
    <row r="14" spans="2:44" ht="31.5">
      <c r="B14" s="56" t="s">
        <v>130</v>
      </c>
    </row>
    <row r="15" spans="2:44" ht="21">
      <c r="B15" s="52" t="s">
        <v>178</v>
      </c>
    </row>
    <row r="16" spans="2:44" ht="15" customHeight="1">
      <c r="B16" s="154" t="s">
        <v>440</v>
      </c>
      <c r="C16" s="155" t="str">
        <f t="shared" ref="C16:C43" si="9">Единица_измерения</f>
        <v>тыс. руб.</v>
      </c>
      <c r="D16" s="156">
        <f>SUM(J16:AL16)</f>
        <v>217384.03000000003</v>
      </c>
      <c r="J16" s="157">
        <f>SUM(J18,J21,J24,J27,J30)</f>
        <v>0</v>
      </c>
      <c r="K16" s="157">
        <f>SUM(K18,K21,K24,K27,K30)</f>
        <v>1301.5999999999999</v>
      </c>
      <c r="L16" s="157">
        <f t="shared" ref="L16:AD16" si="10">SUM(L18,L21,L24,L27,L30)</f>
        <v>1301.5999999999999</v>
      </c>
      <c r="M16" s="157">
        <f t="shared" si="10"/>
        <v>1301.5999999999999</v>
      </c>
      <c r="N16" s="157">
        <f t="shared" si="10"/>
        <v>1301.5999999999999</v>
      </c>
      <c r="O16" s="157">
        <f t="shared" si="10"/>
        <v>6827.63</v>
      </c>
      <c r="P16" s="157">
        <f t="shared" si="10"/>
        <v>6827.63</v>
      </c>
      <c r="Q16" s="157">
        <f t="shared" si="10"/>
        <v>8863.130000000001</v>
      </c>
      <c r="R16" s="157">
        <f t="shared" si="10"/>
        <v>8863.130000000001</v>
      </c>
      <c r="S16" s="157">
        <f t="shared" si="10"/>
        <v>9304.630000000001</v>
      </c>
      <c r="T16" s="157">
        <f t="shared" si="10"/>
        <v>9304.630000000001</v>
      </c>
      <c r="U16" s="157">
        <f t="shared" si="10"/>
        <v>11569.330000000002</v>
      </c>
      <c r="V16" s="157">
        <f t="shared" si="10"/>
        <v>12183.43</v>
      </c>
      <c r="W16" s="157">
        <f t="shared" si="10"/>
        <v>14256.430000000002</v>
      </c>
      <c r="X16" s="157">
        <f t="shared" si="10"/>
        <v>15324.88</v>
      </c>
      <c r="Y16" s="157">
        <f t="shared" si="10"/>
        <v>18142.13</v>
      </c>
      <c r="Z16" s="157">
        <f t="shared" si="10"/>
        <v>18142.13</v>
      </c>
      <c r="AA16" s="157">
        <f t="shared" si="10"/>
        <v>18142.13</v>
      </c>
      <c r="AB16" s="157">
        <f t="shared" si="10"/>
        <v>18142.13</v>
      </c>
      <c r="AC16" s="157">
        <f t="shared" si="10"/>
        <v>18142.13</v>
      </c>
      <c r="AD16" s="157">
        <f t="shared" si="10"/>
        <v>18142.13</v>
      </c>
      <c r="AE16" s="157"/>
      <c r="AF16" s="157"/>
      <c r="AG16" s="157"/>
      <c r="AH16" s="157"/>
      <c r="AI16" s="157"/>
      <c r="AJ16" s="157"/>
      <c r="AK16" s="157"/>
      <c r="AL16" s="157"/>
    </row>
    <row r="17" spans="2:38" ht="15" customHeight="1">
      <c r="B17" s="158" t="s">
        <v>444</v>
      </c>
      <c r="C17" s="159" t="s">
        <v>94</v>
      </c>
      <c r="D17" s="159"/>
      <c r="E17" s="160"/>
      <c r="F17" s="160"/>
      <c r="G17" s="160"/>
      <c r="H17" s="160"/>
      <c r="I17" s="160"/>
      <c r="J17" s="161"/>
      <c r="K17" s="161">
        <f>IFERROR(K16/J16-1,)</f>
        <v>0</v>
      </c>
      <c r="L17" s="161">
        <f t="shared" ref="L17:AD17" si="11">IFERROR(L16/K16-1,)</f>
        <v>0</v>
      </c>
      <c r="M17" s="161">
        <f t="shared" si="11"/>
        <v>0</v>
      </c>
      <c r="N17" s="161">
        <f t="shared" si="11"/>
        <v>0</v>
      </c>
      <c r="O17" s="161">
        <f t="shared" si="11"/>
        <v>4.245566994468347</v>
      </c>
      <c r="P17" s="161">
        <f t="shared" si="11"/>
        <v>0</v>
      </c>
      <c r="Q17" s="161">
        <f t="shared" si="11"/>
        <v>0.29812687565084817</v>
      </c>
      <c r="R17" s="161">
        <f t="shared" si="11"/>
        <v>0</v>
      </c>
      <c r="S17" s="161">
        <f t="shared" si="11"/>
        <v>4.9813102143373644E-2</v>
      </c>
      <c r="T17" s="161">
        <f t="shared" si="11"/>
        <v>0</v>
      </c>
      <c r="U17" s="161">
        <f t="shared" si="11"/>
        <v>0.24339495498477648</v>
      </c>
      <c r="V17" s="161">
        <f t="shared" si="11"/>
        <v>5.3079996853750311E-2</v>
      </c>
      <c r="W17" s="161">
        <f t="shared" si="11"/>
        <v>0.17014912877572264</v>
      </c>
      <c r="X17" s="161">
        <f t="shared" si="11"/>
        <v>7.4945130022031847E-2</v>
      </c>
      <c r="Y17" s="161">
        <f t="shared" si="11"/>
        <v>0.18383504471160639</v>
      </c>
      <c r="Z17" s="161">
        <f t="shared" si="11"/>
        <v>0</v>
      </c>
      <c r="AA17" s="161">
        <f t="shared" si="11"/>
        <v>0</v>
      </c>
      <c r="AB17" s="161">
        <f t="shared" si="11"/>
        <v>0</v>
      </c>
      <c r="AC17" s="161">
        <f t="shared" si="11"/>
        <v>0</v>
      </c>
      <c r="AD17" s="161">
        <f t="shared" si="11"/>
        <v>0</v>
      </c>
      <c r="AE17" s="161"/>
      <c r="AF17" s="161"/>
      <c r="AG17" s="161"/>
      <c r="AH17" s="161"/>
      <c r="AI17" s="161"/>
      <c r="AJ17" s="161"/>
      <c r="AK17" s="161"/>
      <c r="AL17" s="161"/>
    </row>
    <row r="18" spans="2:38" ht="15" customHeight="1">
      <c r="B18" s="162" t="s">
        <v>525</v>
      </c>
      <c r="C18" s="151" t="str">
        <f t="shared" si="9"/>
        <v>тыс. руб.</v>
      </c>
      <c r="D18" s="156">
        <f t="shared" ref="D18:D32" si="12">SUM(J18:AL18)</f>
        <v>195436.10000000003</v>
      </c>
      <c r="J18" s="152">
        <f t="shared" ref="J18" si="13">J19*J20</f>
        <v>0</v>
      </c>
      <c r="K18" s="152">
        <f t="shared" ref="K18" si="14">K19*K20</f>
        <v>1029</v>
      </c>
      <c r="L18" s="152">
        <f t="shared" ref="L18:AD18" si="15">L19*L20</f>
        <v>1029</v>
      </c>
      <c r="M18" s="152">
        <f t="shared" si="15"/>
        <v>1029</v>
      </c>
      <c r="N18" s="152">
        <f t="shared" si="15"/>
        <v>1029</v>
      </c>
      <c r="O18" s="152">
        <f t="shared" si="15"/>
        <v>6176</v>
      </c>
      <c r="P18" s="152">
        <f t="shared" si="15"/>
        <v>6176</v>
      </c>
      <c r="Q18" s="152">
        <f t="shared" si="15"/>
        <v>8028.8</v>
      </c>
      <c r="R18" s="152">
        <f t="shared" si="15"/>
        <v>8028.8</v>
      </c>
      <c r="S18" s="152">
        <f t="shared" si="15"/>
        <v>8429.2000000000007</v>
      </c>
      <c r="T18" s="152">
        <f t="shared" si="15"/>
        <v>8429.2000000000007</v>
      </c>
      <c r="U18" s="152">
        <f t="shared" si="15"/>
        <v>10374.400000000001</v>
      </c>
      <c r="V18" s="152">
        <f t="shared" si="15"/>
        <v>10860.7</v>
      </c>
      <c r="W18" s="152">
        <f t="shared" si="15"/>
        <v>12805.900000000001</v>
      </c>
      <c r="X18" s="152">
        <f t="shared" si="15"/>
        <v>13778.5</v>
      </c>
      <c r="Y18" s="152">
        <f t="shared" si="15"/>
        <v>16372.1</v>
      </c>
      <c r="Z18" s="152">
        <f t="shared" si="15"/>
        <v>16372.1</v>
      </c>
      <c r="AA18" s="152">
        <f t="shared" si="15"/>
        <v>16372.1</v>
      </c>
      <c r="AB18" s="152">
        <f t="shared" si="15"/>
        <v>16372.1</v>
      </c>
      <c r="AC18" s="152">
        <f t="shared" si="15"/>
        <v>16372.1</v>
      </c>
      <c r="AD18" s="152">
        <f t="shared" si="15"/>
        <v>16372.1</v>
      </c>
      <c r="AE18" s="152"/>
      <c r="AF18" s="152"/>
      <c r="AG18" s="152"/>
      <c r="AH18" s="152"/>
      <c r="AI18" s="152"/>
      <c r="AJ18" s="152"/>
      <c r="AK18" s="152"/>
      <c r="AL18" s="152"/>
    </row>
    <row r="19" spans="2:38" ht="15" customHeight="1">
      <c r="B19" s="102" t="s">
        <v>526</v>
      </c>
      <c r="C19" s="34" t="s">
        <v>428</v>
      </c>
      <c r="D19" s="156"/>
      <c r="J19" s="28">
        <v>14.7</v>
      </c>
      <c r="K19" s="28">
        <v>14.7</v>
      </c>
      <c r="L19" s="28">
        <v>14.7</v>
      </c>
      <c r="M19" s="28">
        <v>14.7</v>
      </c>
      <c r="N19" s="28">
        <v>14.7</v>
      </c>
      <c r="O19" s="28">
        <v>15.44</v>
      </c>
      <c r="P19" s="28">
        <v>15.44</v>
      </c>
      <c r="Q19" s="28">
        <v>15.44</v>
      </c>
      <c r="R19" s="28">
        <v>15.44</v>
      </c>
      <c r="S19" s="28">
        <v>16.21</v>
      </c>
      <c r="T19" s="28">
        <v>16.21</v>
      </c>
      <c r="U19" s="28">
        <v>16.21</v>
      </c>
      <c r="V19" s="28">
        <v>16.21</v>
      </c>
      <c r="W19" s="28">
        <v>16.21</v>
      </c>
      <c r="X19" s="28">
        <v>16.21</v>
      </c>
      <c r="Y19" s="28">
        <v>16.21</v>
      </c>
      <c r="Z19" s="28">
        <v>16.21</v>
      </c>
      <c r="AA19" s="28">
        <v>16.21</v>
      </c>
      <c r="AB19" s="28">
        <v>16.21</v>
      </c>
      <c r="AC19" s="28">
        <v>16.21</v>
      </c>
      <c r="AD19" s="28">
        <v>16.21</v>
      </c>
      <c r="AE19" s="28"/>
      <c r="AF19" s="28"/>
      <c r="AG19" s="28"/>
      <c r="AH19" s="28"/>
      <c r="AI19" s="28"/>
      <c r="AJ19" s="28"/>
      <c r="AK19" s="28"/>
      <c r="AL19" s="28"/>
    </row>
    <row r="20" spans="2:38" ht="15" customHeight="1">
      <c r="B20" s="102" t="s">
        <v>527</v>
      </c>
      <c r="C20" s="34" t="s">
        <v>429</v>
      </c>
      <c r="D20" s="156">
        <f t="shared" si="12"/>
        <v>12170</v>
      </c>
      <c r="J20" s="28"/>
      <c r="K20" s="28">
        <v>70</v>
      </c>
      <c r="L20" s="28">
        <v>70</v>
      </c>
      <c r="M20" s="28">
        <v>70</v>
      </c>
      <c r="N20" s="28">
        <v>70</v>
      </c>
      <c r="O20" s="28">
        <v>400</v>
      </c>
      <c r="P20" s="28">
        <v>400</v>
      </c>
      <c r="Q20" s="28">
        <v>520</v>
      </c>
      <c r="R20" s="28">
        <v>520</v>
      </c>
      <c r="S20" s="28">
        <v>520</v>
      </c>
      <c r="T20" s="28">
        <v>520</v>
      </c>
      <c r="U20" s="28">
        <v>640</v>
      </c>
      <c r="V20" s="28">
        <v>670</v>
      </c>
      <c r="W20" s="28">
        <v>790</v>
      </c>
      <c r="X20" s="28">
        <v>850</v>
      </c>
      <c r="Y20" s="28">
        <v>1010</v>
      </c>
      <c r="Z20" s="28">
        <v>1010</v>
      </c>
      <c r="AA20" s="28">
        <v>1010</v>
      </c>
      <c r="AB20" s="28">
        <v>1010</v>
      </c>
      <c r="AC20" s="28">
        <v>1010</v>
      </c>
      <c r="AD20" s="28">
        <v>1010</v>
      </c>
      <c r="AE20" s="28"/>
      <c r="AF20" s="28"/>
      <c r="AG20" s="28"/>
      <c r="AH20" s="28"/>
      <c r="AI20" s="28"/>
      <c r="AJ20" s="28"/>
      <c r="AK20" s="28"/>
      <c r="AL20" s="28"/>
    </row>
    <row r="21" spans="2:38" ht="15" customHeight="1">
      <c r="B21" s="162" t="s">
        <v>528</v>
      </c>
      <c r="C21" s="151" t="str">
        <f t="shared" si="9"/>
        <v>тыс. руб.</v>
      </c>
      <c r="D21" s="156"/>
      <c r="J21" s="152">
        <f t="shared" ref="J21" si="16">J22*J23</f>
        <v>0</v>
      </c>
      <c r="K21" s="152">
        <f t="shared" ref="K21:AD21" si="17">K22*K23</f>
        <v>272.59999999999997</v>
      </c>
      <c r="L21" s="152">
        <f t="shared" si="17"/>
        <v>272.59999999999997</v>
      </c>
      <c r="M21" s="152">
        <f t="shared" si="17"/>
        <v>272.59999999999997</v>
      </c>
      <c r="N21" s="152">
        <f t="shared" si="17"/>
        <v>272.59999999999997</v>
      </c>
      <c r="O21" s="152">
        <f t="shared" si="17"/>
        <v>651.63</v>
      </c>
      <c r="P21" s="152">
        <f t="shared" si="17"/>
        <v>651.63</v>
      </c>
      <c r="Q21" s="152">
        <f t="shared" si="17"/>
        <v>834.32999999999993</v>
      </c>
      <c r="R21" s="152">
        <f t="shared" si="17"/>
        <v>834.32999999999993</v>
      </c>
      <c r="S21" s="152">
        <f t="shared" si="17"/>
        <v>875.43</v>
      </c>
      <c r="T21" s="152">
        <f t="shared" si="17"/>
        <v>875.43</v>
      </c>
      <c r="U21" s="152">
        <f t="shared" si="17"/>
        <v>1194.9299999999998</v>
      </c>
      <c r="V21" s="152">
        <f t="shared" si="17"/>
        <v>1322.73</v>
      </c>
      <c r="W21" s="152">
        <f t="shared" si="17"/>
        <v>1450.53</v>
      </c>
      <c r="X21" s="152">
        <f t="shared" si="17"/>
        <v>1546.3799999999999</v>
      </c>
      <c r="Y21" s="152">
        <f t="shared" si="17"/>
        <v>1770.03</v>
      </c>
      <c r="Z21" s="152">
        <f t="shared" si="17"/>
        <v>1770.03</v>
      </c>
      <c r="AA21" s="152">
        <f t="shared" si="17"/>
        <v>1770.03</v>
      </c>
      <c r="AB21" s="152">
        <f t="shared" si="17"/>
        <v>1770.03</v>
      </c>
      <c r="AC21" s="152">
        <f t="shared" si="17"/>
        <v>1770.03</v>
      </c>
      <c r="AD21" s="152">
        <f t="shared" si="17"/>
        <v>1770.03</v>
      </c>
      <c r="AE21" s="152"/>
      <c r="AF21" s="152"/>
      <c r="AG21" s="152"/>
      <c r="AH21" s="152"/>
      <c r="AI21" s="152"/>
      <c r="AJ21" s="152"/>
      <c r="AK21" s="152"/>
      <c r="AL21" s="152"/>
    </row>
    <row r="22" spans="2:38" ht="15" customHeight="1">
      <c r="B22" s="102" t="s">
        <v>529</v>
      </c>
      <c r="C22" s="34" t="s">
        <v>428</v>
      </c>
      <c r="D22" s="156">
        <f t="shared" si="12"/>
        <v>130.04000000000002</v>
      </c>
      <c r="J22" s="28">
        <v>5.8</v>
      </c>
      <c r="K22" s="28">
        <v>5.8</v>
      </c>
      <c r="L22" s="28">
        <v>5.8</v>
      </c>
      <c r="M22" s="28">
        <v>5.8</v>
      </c>
      <c r="N22" s="28">
        <v>5.8</v>
      </c>
      <c r="O22" s="28">
        <v>6.09</v>
      </c>
      <c r="P22" s="28">
        <v>6.09</v>
      </c>
      <c r="Q22" s="28">
        <v>6.09</v>
      </c>
      <c r="R22" s="28">
        <v>6.09</v>
      </c>
      <c r="S22" s="28">
        <v>6.39</v>
      </c>
      <c r="T22" s="28">
        <v>6.39</v>
      </c>
      <c r="U22" s="28">
        <v>6.39</v>
      </c>
      <c r="V22" s="28">
        <v>6.39</v>
      </c>
      <c r="W22" s="28">
        <v>6.39</v>
      </c>
      <c r="X22" s="28">
        <v>6.39</v>
      </c>
      <c r="Y22" s="28">
        <v>6.39</v>
      </c>
      <c r="Z22" s="28">
        <v>6.39</v>
      </c>
      <c r="AA22" s="28">
        <v>6.39</v>
      </c>
      <c r="AB22" s="28">
        <v>6.39</v>
      </c>
      <c r="AC22" s="28">
        <v>6.39</v>
      </c>
      <c r="AD22" s="28">
        <v>6.39</v>
      </c>
      <c r="AE22" s="28"/>
      <c r="AF22" s="28"/>
      <c r="AG22" s="28"/>
      <c r="AH22" s="28"/>
      <c r="AI22" s="28"/>
      <c r="AJ22" s="28"/>
      <c r="AK22" s="28"/>
      <c r="AL22" s="28"/>
    </row>
    <row r="23" spans="2:38" ht="15" customHeight="1">
      <c r="B23" s="102" t="s">
        <v>530</v>
      </c>
      <c r="C23" s="34" t="s">
        <v>429</v>
      </c>
      <c r="D23" s="156">
        <f t="shared" si="12"/>
        <v>3475</v>
      </c>
      <c r="J23" s="28"/>
      <c r="K23" s="28">
        <v>47</v>
      </c>
      <c r="L23" s="28">
        <v>47</v>
      </c>
      <c r="M23" s="28">
        <v>47</v>
      </c>
      <c r="N23" s="28">
        <v>47</v>
      </c>
      <c r="O23" s="28">
        <v>107</v>
      </c>
      <c r="P23" s="28">
        <v>107</v>
      </c>
      <c r="Q23" s="28">
        <v>137</v>
      </c>
      <c r="R23" s="28">
        <v>137</v>
      </c>
      <c r="S23" s="28">
        <v>137</v>
      </c>
      <c r="T23" s="28">
        <v>137</v>
      </c>
      <c r="U23" s="28">
        <v>187</v>
      </c>
      <c r="V23" s="28">
        <v>207</v>
      </c>
      <c r="W23" s="28">
        <v>227</v>
      </c>
      <c r="X23" s="28">
        <v>242</v>
      </c>
      <c r="Y23" s="28">
        <v>277</v>
      </c>
      <c r="Z23" s="28">
        <v>277</v>
      </c>
      <c r="AA23" s="28">
        <v>277</v>
      </c>
      <c r="AB23" s="28">
        <v>277</v>
      </c>
      <c r="AC23" s="28">
        <v>277</v>
      </c>
      <c r="AD23" s="28">
        <v>277</v>
      </c>
      <c r="AE23" s="28"/>
      <c r="AF23" s="28"/>
      <c r="AG23" s="28"/>
      <c r="AH23" s="28"/>
      <c r="AI23" s="28"/>
      <c r="AJ23" s="28"/>
      <c r="AK23" s="28"/>
      <c r="AL23" s="28"/>
    </row>
    <row r="24" spans="2:38" ht="15" customHeight="1">
      <c r="B24" s="162" t="s">
        <v>430</v>
      </c>
      <c r="C24" s="151" t="str">
        <f t="shared" si="9"/>
        <v>тыс. руб.</v>
      </c>
      <c r="D24" s="156">
        <f t="shared" si="12"/>
        <v>0</v>
      </c>
      <c r="J24" s="152">
        <f t="shared" ref="J24" si="18">J25*J26</f>
        <v>0</v>
      </c>
      <c r="K24" s="152">
        <f t="shared" ref="K24:AD24" si="19">K25*K26</f>
        <v>0</v>
      </c>
      <c r="L24" s="152">
        <f t="shared" si="19"/>
        <v>0</v>
      </c>
      <c r="M24" s="152">
        <f t="shared" si="19"/>
        <v>0</v>
      </c>
      <c r="N24" s="152">
        <f t="shared" si="19"/>
        <v>0</v>
      </c>
      <c r="O24" s="152">
        <f t="shared" si="19"/>
        <v>0</v>
      </c>
      <c r="P24" s="152">
        <f t="shared" si="19"/>
        <v>0</v>
      </c>
      <c r="Q24" s="152">
        <f t="shared" si="19"/>
        <v>0</v>
      </c>
      <c r="R24" s="152">
        <f t="shared" si="19"/>
        <v>0</v>
      </c>
      <c r="S24" s="152">
        <f t="shared" si="19"/>
        <v>0</v>
      </c>
      <c r="T24" s="152">
        <f t="shared" si="19"/>
        <v>0</v>
      </c>
      <c r="U24" s="152">
        <f t="shared" si="19"/>
        <v>0</v>
      </c>
      <c r="V24" s="152">
        <f t="shared" si="19"/>
        <v>0</v>
      </c>
      <c r="W24" s="152">
        <f t="shared" si="19"/>
        <v>0</v>
      </c>
      <c r="X24" s="152">
        <f t="shared" si="19"/>
        <v>0</v>
      </c>
      <c r="Y24" s="152">
        <f t="shared" si="19"/>
        <v>0</v>
      </c>
      <c r="Z24" s="152">
        <f t="shared" si="19"/>
        <v>0</v>
      </c>
      <c r="AA24" s="152">
        <f t="shared" si="19"/>
        <v>0</v>
      </c>
      <c r="AB24" s="152">
        <f t="shared" si="19"/>
        <v>0</v>
      </c>
      <c r="AC24" s="152">
        <f t="shared" si="19"/>
        <v>0</v>
      </c>
      <c r="AD24" s="152">
        <f t="shared" si="19"/>
        <v>0</v>
      </c>
      <c r="AE24" s="152"/>
      <c r="AF24" s="152"/>
      <c r="AG24" s="152"/>
      <c r="AH24" s="152"/>
      <c r="AI24" s="152"/>
      <c r="AJ24" s="152"/>
      <c r="AK24" s="152"/>
      <c r="AL24" s="152"/>
    </row>
    <row r="25" spans="2:38" ht="15" customHeight="1">
      <c r="B25" s="102" t="s">
        <v>431</v>
      </c>
      <c r="C25" s="34" t="s">
        <v>428</v>
      </c>
      <c r="D25" s="156">
        <f t="shared" si="12"/>
        <v>0</v>
      </c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</row>
    <row r="26" spans="2:38" ht="15" customHeight="1">
      <c r="B26" s="102" t="s">
        <v>432</v>
      </c>
      <c r="C26" s="34" t="s">
        <v>429</v>
      </c>
      <c r="D26" s="156">
        <f t="shared" si="12"/>
        <v>0</v>
      </c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</row>
    <row r="27" spans="2:38" ht="15" customHeight="1">
      <c r="B27" s="162" t="s">
        <v>433</v>
      </c>
      <c r="C27" s="151" t="str">
        <f t="shared" si="9"/>
        <v>тыс. руб.</v>
      </c>
      <c r="D27" s="156">
        <f t="shared" si="12"/>
        <v>0</v>
      </c>
      <c r="J27" s="152">
        <f t="shared" ref="J27" si="20">J28*J29</f>
        <v>0</v>
      </c>
      <c r="K27" s="152">
        <f t="shared" ref="K27:AD27" si="21">K28*K29</f>
        <v>0</v>
      </c>
      <c r="L27" s="152">
        <f t="shared" si="21"/>
        <v>0</v>
      </c>
      <c r="M27" s="152">
        <f t="shared" si="21"/>
        <v>0</v>
      </c>
      <c r="N27" s="152">
        <f t="shared" si="21"/>
        <v>0</v>
      </c>
      <c r="O27" s="152">
        <f t="shared" si="21"/>
        <v>0</v>
      </c>
      <c r="P27" s="152">
        <f t="shared" si="21"/>
        <v>0</v>
      </c>
      <c r="Q27" s="152">
        <f t="shared" si="21"/>
        <v>0</v>
      </c>
      <c r="R27" s="152">
        <f t="shared" si="21"/>
        <v>0</v>
      </c>
      <c r="S27" s="152">
        <f t="shared" si="21"/>
        <v>0</v>
      </c>
      <c r="T27" s="152">
        <f t="shared" si="21"/>
        <v>0</v>
      </c>
      <c r="U27" s="152">
        <f t="shared" si="21"/>
        <v>0</v>
      </c>
      <c r="V27" s="152">
        <f t="shared" si="21"/>
        <v>0</v>
      </c>
      <c r="W27" s="152">
        <f t="shared" si="21"/>
        <v>0</v>
      </c>
      <c r="X27" s="152">
        <f t="shared" si="21"/>
        <v>0</v>
      </c>
      <c r="Y27" s="152">
        <f t="shared" si="21"/>
        <v>0</v>
      </c>
      <c r="Z27" s="152">
        <f t="shared" si="21"/>
        <v>0</v>
      </c>
      <c r="AA27" s="152">
        <f t="shared" si="21"/>
        <v>0</v>
      </c>
      <c r="AB27" s="152">
        <f t="shared" si="21"/>
        <v>0</v>
      </c>
      <c r="AC27" s="152">
        <f t="shared" si="21"/>
        <v>0</v>
      </c>
      <c r="AD27" s="152">
        <f t="shared" si="21"/>
        <v>0</v>
      </c>
      <c r="AE27" s="152"/>
      <c r="AF27" s="152"/>
      <c r="AG27" s="152"/>
      <c r="AH27" s="152"/>
      <c r="AI27" s="152"/>
      <c r="AJ27" s="152"/>
      <c r="AK27" s="152"/>
      <c r="AL27" s="152"/>
    </row>
    <row r="28" spans="2:38" ht="15" customHeight="1">
      <c r="B28" s="102" t="s">
        <v>434</v>
      </c>
      <c r="C28" s="34" t="s">
        <v>428</v>
      </c>
      <c r="D28" s="156">
        <f t="shared" si="12"/>
        <v>0</v>
      </c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</row>
    <row r="29" spans="2:38" ht="15" customHeight="1">
      <c r="B29" s="102" t="s">
        <v>435</v>
      </c>
      <c r="C29" s="34" t="s">
        <v>429</v>
      </c>
      <c r="D29" s="156">
        <f t="shared" si="12"/>
        <v>0</v>
      </c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</row>
    <row r="30" spans="2:38" ht="15" customHeight="1">
      <c r="B30" s="162" t="s">
        <v>436</v>
      </c>
      <c r="C30" s="151" t="str">
        <f t="shared" si="9"/>
        <v>тыс. руб.</v>
      </c>
      <c r="D30" s="156">
        <f t="shared" si="12"/>
        <v>0</v>
      </c>
      <c r="J30" s="152">
        <f t="shared" ref="J30" si="22">J31*J32</f>
        <v>0</v>
      </c>
      <c r="K30" s="152">
        <f t="shared" ref="K30:AD30" si="23">K31*K32</f>
        <v>0</v>
      </c>
      <c r="L30" s="152">
        <f t="shared" si="23"/>
        <v>0</v>
      </c>
      <c r="M30" s="152">
        <f t="shared" si="23"/>
        <v>0</v>
      </c>
      <c r="N30" s="152">
        <f t="shared" si="23"/>
        <v>0</v>
      </c>
      <c r="O30" s="152">
        <f t="shared" si="23"/>
        <v>0</v>
      </c>
      <c r="P30" s="152">
        <f t="shared" si="23"/>
        <v>0</v>
      </c>
      <c r="Q30" s="152">
        <f t="shared" si="23"/>
        <v>0</v>
      </c>
      <c r="R30" s="152">
        <f t="shared" si="23"/>
        <v>0</v>
      </c>
      <c r="S30" s="152">
        <f t="shared" si="23"/>
        <v>0</v>
      </c>
      <c r="T30" s="152">
        <f t="shared" si="23"/>
        <v>0</v>
      </c>
      <c r="U30" s="152">
        <f t="shared" si="23"/>
        <v>0</v>
      </c>
      <c r="V30" s="152">
        <f t="shared" si="23"/>
        <v>0</v>
      </c>
      <c r="W30" s="152">
        <f t="shared" si="23"/>
        <v>0</v>
      </c>
      <c r="X30" s="152">
        <f t="shared" si="23"/>
        <v>0</v>
      </c>
      <c r="Y30" s="152">
        <f t="shared" si="23"/>
        <v>0</v>
      </c>
      <c r="Z30" s="152">
        <f t="shared" si="23"/>
        <v>0</v>
      </c>
      <c r="AA30" s="152">
        <f t="shared" si="23"/>
        <v>0</v>
      </c>
      <c r="AB30" s="152">
        <f t="shared" si="23"/>
        <v>0</v>
      </c>
      <c r="AC30" s="152">
        <f t="shared" si="23"/>
        <v>0</v>
      </c>
      <c r="AD30" s="152">
        <f t="shared" si="23"/>
        <v>0</v>
      </c>
      <c r="AE30" s="152"/>
      <c r="AF30" s="152"/>
      <c r="AG30" s="152"/>
      <c r="AH30" s="152"/>
      <c r="AI30" s="152"/>
      <c r="AJ30" s="152"/>
      <c r="AK30" s="152"/>
      <c r="AL30" s="152"/>
    </row>
    <row r="31" spans="2:38" ht="15" customHeight="1">
      <c r="B31" s="102" t="s">
        <v>437</v>
      </c>
      <c r="C31" s="34" t="s">
        <v>428</v>
      </c>
      <c r="D31" s="156">
        <f t="shared" si="12"/>
        <v>0</v>
      </c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28"/>
      <c r="AL31" s="28"/>
    </row>
    <row r="32" spans="2:38" ht="15" customHeight="1">
      <c r="B32" s="102" t="s">
        <v>438</v>
      </c>
      <c r="C32" s="34" t="s">
        <v>429</v>
      </c>
      <c r="D32" s="156">
        <f t="shared" si="12"/>
        <v>0</v>
      </c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</row>
    <row r="33" spans="2:44" ht="15" customHeight="1">
      <c r="O33" s="178">
        <f>O20+70</f>
        <v>470</v>
      </c>
      <c r="P33" s="178">
        <f t="shared" ref="P33:AD33" si="24">P20+70</f>
        <v>470</v>
      </c>
      <c r="Q33" s="178">
        <f t="shared" si="24"/>
        <v>590</v>
      </c>
      <c r="R33" s="178">
        <f t="shared" si="24"/>
        <v>590</v>
      </c>
      <c r="S33" s="178">
        <f t="shared" si="24"/>
        <v>590</v>
      </c>
      <c r="T33" s="178">
        <f t="shared" si="24"/>
        <v>590</v>
      </c>
      <c r="U33" s="178">
        <f t="shared" si="24"/>
        <v>710</v>
      </c>
      <c r="V33" s="178">
        <f t="shared" si="24"/>
        <v>740</v>
      </c>
      <c r="W33" s="178">
        <f t="shared" si="24"/>
        <v>860</v>
      </c>
      <c r="X33" s="178">
        <f t="shared" si="24"/>
        <v>920</v>
      </c>
      <c r="Y33" s="178">
        <f t="shared" si="24"/>
        <v>1080</v>
      </c>
      <c r="Z33" s="178">
        <f t="shared" si="24"/>
        <v>1080</v>
      </c>
      <c r="AA33" s="178">
        <f t="shared" si="24"/>
        <v>1080</v>
      </c>
      <c r="AB33" s="178">
        <f t="shared" si="24"/>
        <v>1080</v>
      </c>
      <c r="AC33" s="178">
        <f t="shared" si="24"/>
        <v>1080</v>
      </c>
      <c r="AD33" s="178">
        <f t="shared" si="24"/>
        <v>1080</v>
      </c>
    </row>
    <row r="34" spans="2:44" ht="21">
      <c r="B34" s="52" t="s">
        <v>450</v>
      </c>
      <c r="P34" s="213"/>
    </row>
    <row r="35" spans="2:44" ht="15" customHeight="1">
      <c r="B35" s="154" t="s">
        <v>445</v>
      </c>
      <c r="C35" s="155" t="s">
        <v>94</v>
      </c>
      <c r="D35" s="164">
        <f>SUM(J35:AL35)</f>
        <v>15030.314418246548</v>
      </c>
      <c r="J35" s="157">
        <f>IF($D$37="да",J40,J43)</f>
        <v>0</v>
      </c>
      <c r="K35" s="157">
        <f t="shared" ref="K35:AD35" si="25">IF($D$37="да",K40,K43)</f>
        <v>102.84215277489949</v>
      </c>
      <c r="L35" s="157">
        <f t="shared" si="25"/>
        <v>109.58563518050316</v>
      </c>
      <c r="M35" s="157">
        <f t="shared" si="25"/>
        <v>112.28302814274464</v>
      </c>
      <c r="N35" s="157">
        <f t="shared" si="25"/>
        <v>112.28302814274464</v>
      </c>
      <c r="O35" s="157">
        <f t="shared" si="25"/>
        <v>557.51009254608664</v>
      </c>
      <c r="P35" s="157">
        <f t="shared" si="25"/>
        <v>557.51009254608664</v>
      </c>
      <c r="Q35" s="157">
        <f t="shared" si="25"/>
        <v>668.8804859671975</v>
      </c>
      <c r="R35" s="157">
        <f t="shared" si="25"/>
        <v>668.8804859671975</v>
      </c>
      <c r="S35" s="157">
        <f t="shared" si="25"/>
        <v>690.84534011264759</v>
      </c>
      <c r="T35" s="157">
        <f t="shared" si="25"/>
        <v>690.84534011264759</v>
      </c>
      <c r="U35" s="157">
        <f t="shared" si="25"/>
        <v>793.20372524504285</v>
      </c>
      <c r="V35" s="157">
        <f t="shared" si="25"/>
        <v>818.31215468222126</v>
      </c>
      <c r="W35" s="157">
        <f t="shared" si="25"/>
        <v>1033.0205121583513</v>
      </c>
      <c r="X35" s="157">
        <f t="shared" si="25"/>
        <v>1074.8378395961217</v>
      </c>
      <c r="Y35" s="157">
        <f t="shared" si="25"/>
        <v>1173.2457508453431</v>
      </c>
      <c r="Z35" s="157">
        <f t="shared" si="25"/>
        <v>1173.2457508453431</v>
      </c>
      <c r="AA35" s="157">
        <f t="shared" si="25"/>
        <v>1173.2457508453431</v>
      </c>
      <c r="AB35" s="157">
        <f t="shared" si="25"/>
        <v>1173.2457508453431</v>
      </c>
      <c r="AC35" s="157">
        <f t="shared" si="25"/>
        <v>1173.2457508453431</v>
      </c>
      <c r="AD35" s="157">
        <f t="shared" si="25"/>
        <v>1173.2457508453431</v>
      </c>
      <c r="AE35" s="157"/>
      <c r="AF35" s="157"/>
      <c r="AG35" s="157"/>
      <c r="AH35" s="157"/>
      <c r="AI35" s="157"/>
      <c r="AJ35" s="157"/>
      <c r="AK35" s="157"/>
      <c r="AL35" s="157"/>
    </row>
    <row r="36" spans="2:44" ht="15" customHeight="1">
      <c r="J36" s="165"/>
      <c r="K36" s="165"/>
      <c r="L36" s="165"/>
      <c r="M36" s="165"/>
      <c r="N36" s="165"/>
      <c r="O36" s="165"/>
      <c r="P36" s="165"/>
      <c r="Q36" s="165"/>
      <c r="R36" s="165"/>
      <c r="S36" s="165"/>
      <c r="T36" s="165"/>
      <c r="U36" s="165"/>
      <c r="V36" s="165"/>
      <c r="W36" s="165"/>
      <c r="X36" s="165"/>
      <c r="Y36" s="165"/>
      <c r="Z36" s="165"/>
      <c r="AA36" s="165"/>
      <c r="AB36" s="165"/>
      <c r="AC36" s="165"/>
      <c r="AD36" s="165"/>
      <c r="AE36" s="165"/>
      <c r="AF36" s="165"/>
      <c r="AG36" s="165"/>
      <c r="AH36" s="165"/>
      <c r="AI36" s="165"/>
      <c r="AJ36" s="165"/>
      <c r="AK36" s="165"/>
      <c r="AL36" s="165"/>
    </row>
    <row r="37" spans="2:44" ht="15" customHeight="1">
      <c r="B37" s="150" t="s">
        <v>447</v>
      </c>
      <c r="D37" s="34" t="s">
        <v>424</v>
      </c>
    </row>
    <row r="38" spans="2:44" ht="15" customHeight="1">
      <c r="B38" s="106"/>
    </row>
    <row r="39" spans="2:44" ht="15" customHeight="1">
      <c r="B39" s="166" t="s">
        <v>448</v>
      </c>
      <c r="J39" s="165"/>
      <c r="K39" s="165"/>
      <c r="L39" s="165"/>
      <c r="M39" s="165"/>
      <c r="N39" s="165"/>
      <c r="O39" s="165"/>
      <c r="P39" s="165"/>
      <c r="Q39" s="165"/>
      <c r="R39" s="165"/>
      <c r="S39" s="165"/>
      <c r="T39" s="165"/>
      <c r="U39" s="165"/>
      <c r="V39" s="165"/>
      <c r="W39" s="165"/>
      <c r="X39" s="165"/>
      <c r="Y39" s="165"/>
      <c r="Z39" s="165"/>
      <c r="AA39" s="165"/>
      <c r="AB39" s="165"/>
      <c r="AC39" s="165"/>
      <c r="AD39" s="165"/>
      <c r="AE39" s="165"/>
      <c r="AF39" s="165"/>
      <c r="AG39" s="165"/>
      <c r="AH39" s="165"/>
      <c r="AI39" s="165"/>
      <c r="AJ39" s="165"/>
      <c r="AK39" s="165"/>
      <c r="AL39" s="165"/>
    </row>
    <row r="40" spans="2:44" ht="15" customHeight="1">
      <c r="B40" s="150" t="s">
        <v>446</v>
      </c>
      <c r="C40" s="151" t="str">
        <f t="shared" si="9"/>
        <v>тыс. руб.</v>
      </c>
      <c r="D40" s="156">
        <f>SUM(J40:AL40)</f>
        <v>14450</v>
      </c>
      <c r="J40" s="28">
        <v>450</v>
      </c>
      <c r="K40" s="28">
        <v>450</v>
      </c>
      <c r="L40" s="28">
        <v>450</v>
      </c>
      <c r="M40" s="28">
        <v>450</v>
      </c>
      <c r="N40" s="28">
        <v>450</v>
      </c>
      <c r="O40" s="28">
        <v>450</v>
      </c>
      <c r="P40" s="28">
        <v>590</v>
      </c>
      <c r="Q40" s="28">
        <v>630</v>
      </c>
      <c r="R40" s="28">
        <v>750</v>
      </c>
      <c r="S40" s="28">
        <v>815</v>
      </c>
      <c r="T40" s="28">
        <v>815</v>
      </c>
      <c r="U40" s="28">
        <v>815</v>
      </c>
      <c r="V40" s="28">
        <v>815</v>
      </c>
      <c r="W40" s="28">
        <v>815</v>
      </c>
      <c r="X40" s="28">
        <v>815</v>
      </c>
      <c r="Y40" s="28">
        <v>815</v>
      </c>
      <c r="Z40" s="28">
        <v>815</v>
      </c>
      <c r="AA40" s="28">
        <v>815</v>
      </c>
      <c r="AB40" s="28">
        <v>815</v>
      </c>
      <c r="AC40" s="28">
        <v>815</v>
      </c>
      <c r="AD40" s="28">
        <v>815</v>
      </c>
      <c r="AE40" s="28"/>
      <c r="AF40" s="28"/>
      <c r="AG40" s="28"/>
      <c r="AH40" s="28"/>
      <c r="AI40" s="28"/>
      <c r="AJ40" s="28"/>
      <c r="AK40" s="28"/>
      <c r="AL40" s="28"/>
    </row>
    <row r="41" spans="2:44" ht="15" customHeight="1"/>
    <row r="42" spans="2:44" ht="15" customHeight="1">
      <c r="B42" s="166" t="s">
        <v>449</v>
      </c>
    </row>
    <row r="43" spans="2:44" ht="15" customHeight="1">
      <c r="B43" s="150" t="s">
        <v>446</v>
      </c>
      <c r="C43" s="151" t="str">
        <f t="shared" si="9"/>
        <v>тыс. руб.</v>
      </c>
      <c r="D43" s="156">
        <f>SUM(J43:AL43)</f>
        <v>15030.314418246548</v>
      </c>
      <c r="J43" s="152">
        <f t="shared" ref="J43:AD43" si="26">-J44*J146</f>
        <v>0</v>
      </c>
      <c r="K43" s="152">
        <f t="shared" si="26"/>
        <v>102.84215277489949</v>
      </c>
      <c r="L43" s="152">
        <f t="shared" si="26"/>
        <v>109.58563518050316</v>
      </c>
      <c r="M43" s="152">
        <f t="shared" si="26"/>
        <v>112.28302814274464</v>
      </c>
      <c r="N43" s="152">
        <f t="shared" si="26"/>
        <v>112.28302814274464</v>
      </c>
      <c r="O43" s="152">
        <f t="shared" si="26"/>
        <v>557.51009254608664</v>
      </c>
      <c r="P43" s="152">
        <f t="shared" si="26"/>
        <v>557.51009254608664</v>
      </c>
      <c r="Q43" s="152">
        <f t="shared" si="26"/>
        <v>668.8804859671975</v>
      </c>
      <c r="R43" s="152">
        <f t="shared" si="26"/>
        <v>668.8804859671975</v>
      </c>
      <c r="S43" s="152">
        <f t="shared" si="26"/>
        <v>690.84534011264759</v>
      </c>
      <c r="T43" s="152">
        <f t="shared" si="26"/>
        <v>690.84534011264759</v>
      </c>
      <c r="U43" s="152">
        <f t="shared" si="26"/>
        <v>793.20372524504285</v>
      </c>
      <c r="V43" s="152">
        <f t="shared" si="26"/>
        <v>818.31215468222126</v>
      </c>
      <c r="W43" s="152">
        <f t="shared" si="26"/>
        <v>1033.0205121583513</v>
      </c>
      <c r="X43" s="152">
        <f t="shared" si="26"/>
        <v>1074.8378395961217</v>
      </c>
      <c r="Y43" s="152">
        <f t="shared" si="26"/>
        <v>1173.2457508453431</v>
      </c>
      <c r="Z43" s="152">
        <f t="shared" si="26"/>
        <v>1173.2457508453431</v>
      </c>
      <c r="AA43" s="152">
        <f t="shared" si="26"/>
        <v>1173.2457508453431</v>
      </c>
      <c r="AB43" s="152">
        <f t="shared" si="26"/>
        <v>1173.2457508453431</v>
      </c>
      <c r="AC43" s="152">
        <f t="shared" si="26"/>
        <v>1173.2457508453431</v>
      </c>
      <c r="AD43" s="152">
        <f t="shared" si="26"/>
        <v>1173.2457508453431</v>
      </c>
      <c r="AE43" s="152"/>
      <c r="AF43" s="152"/>
      <c r="AG43" s="152"/>
      <c r="AH43" s="152"/>
      <c r="AI43" s="152"/>
      <c r="AJ43" s="152"/>
      <c r="AK43" s="152"/>
      <c r="AL43" s="152"/>
    </row>
    <row r="44" spans="2:44" ht="15" customHeight="1">
      <c r="B44" s="162" t="s">
        <v>443</v>
      </c>
      <c r="C44" s="151" t="s">
        <v>94</v>
      </c>
      <c r="J44" s="167">
        <f t="shared" ref="J44:AD44" si="27">IFERROR(J16/J51,)</f>
        <v>0</v>
      </c>
      <c r="K44" s="167">
        <f t="shared" si="27"/>
        <v>6.7434824056036805E-2</v>
      </c>
      <c r="L44" s="167">
        <f t="shared" si="27"/>
        <v>6.7434824056036805E-2</v>
      </c>
      <c r="M44" s="167">
        <f t="shared" si="27"/>
        <v>6.7434824056036805E-2</v>
      </c>
      <c r="N44" s="167">
        <f t="shared" si="27"/>
        <v>6.7434824056036805E-2</v>
      </c>
      <c r="O44" s="167">
        <f t="shared" si="27"/>
        <v>0.27500127881718872</v>
      </c>
      <c r="P44" s="167">
        <f t="shared" si="27"/>
        <v>0.27500127881718872</v>
      </c>
      <c r="Q44" s="167">
        <f t="shared" si="27"/>
        <v>0.32993660828056898</v>
      </c>
      <c r="R44" s="167">
        <f t="shared" si="27"/>
        <v>0.32993660828056898</v>
      </c>
      <c r="S44" s="167">
        <f t="shared" si="27"/>
        <v>0.34077114394152203</v>
      </c>
      <c r="T44" s="167">
        <f t="shared" si="27"/>
        <v>0.34077114394152203</v>
      </c>
      <c r="U44" s="167">
        <f t="shared" si="27"/>
        <v>0.39126114795296346</v>
      </c>
      <c r="V44" s="167">
        <f t="shared" si="27"/>
        <v>0.40364630527411893</v>
      </c>
      <c r="W44" s="167">
        <f t="shared" si="27"/>
        <v>0.44197172470729096</v>
      </c>
      <c r="X44" s="167">
        <f t="shared" si="27"/>
        <v>0.45986302126219208</v>
      </c>
      <c r="Y44" s="167">
        <f t="shared" si="27"/>
        <v>0.50196626485489371</v>
      </c>
      <c r="Z44" s="167">
        <f t="shared" si="27"/>
        <v>0.50196626485489371</v>
      </c>
      <c r="AA44" s="167">
        <f t="shared" si="27"/>
        <v>0.50196626485489371</v>
      </c>
      <c r="AB44" s="167">
        <f t="shared" si="27"/>
        <v>0.50196626485489371</v>
      </c>
      <c r="AC44" s="167">
        <f t="shared" si="27"/>
        <v>0.50196626485489371</v>
      </c>
      <c r="AD44" s="167">
        <f t="shared" si="27"/>
        <v>0.50196626485489371</v>
      </c>
      <c r="AE44" s="167"/>
      <c r="AF44" s="167"/>
      <c r="AG44" s="167"/>
      <c r="AH44" s="167"/>
      <c r="AI44" s="167"/>
      <c r="AJ44" s="167"/>
      <c r="AK44" s="167"/>
      <c r="AL44" s="167"/>
    </row>
    <row r="45" spans="2:44" ht="15" customHeight="1">
      <c r="B45" s="56"/>
      <c r="D45" s="52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53"/>
      <c r="P45" s="53"/>
      <c r="Q45" s="53"/>
      <c r="R45" s="53"/>
      <c r="S45" s="53"/>
      <c r="T45" s="53"/>
      <c r="U45" s="53"/>
      <c r="V45" s="53"/>
      <c r="W45" s="53"/>
      <c r="X45" s="53"/>
      <c r="Y45" s="53"/>
      <c r="Z45" s="53"/>
      <c r="AA45" s="53"/>
      <c r="AB45" s="53"/>
      <c r="AC45" s="53"/>
      <c r="AD45" s="53"/>
      <c r="AE45" s="53"/>
      <c r="AF45" s="53"/>
      <c r="AG45" s="53"/>
      <c r="AH45" s="53"/>
      <c r="AI45" s="53"/>
      <c r="AJ45" s="53"/>
      <c r="AK45" s="53"/>
      <c r="AL45" s="53"/>
      <c r="AM45" s="53"/>
      <c r="AN45" s="53"/>
      <c r="AO45" s="53"/>
      <c r="AP45" s="53"/>
      <c r="AQ45" s="53"/>
      <c r="AR45" s="53"/>
    </row>
    <row r="46" spans="2:44" ht="31.5">
      <c r="B46" s="56" t="s">
        <v>487</v>
      </c>
      <c r="D46" s="52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53"/>
      <c r="P46" s="53"/>
      <c r="Q46" s="53"/>
      <c r="R46" s="53"/>
      <c r="S46" s="53"/>
      <c r="T46" s="53"/>
      <c r="U46" s="53"/>
      <c r="V46" s="53"/>
      <c r="W46" s="53"/>
      <c r="X46" s="53"/>
      <c r="Y46" s="53"/>
      <c r="Z46" s="53"/>
      <c r="AA46" s="53"/>
      <c r="AB46" s="53"/>
      <c r="AC46" s="53"/>
      <c r="AD46" s="53"/>
      <c r="AE46" s="53"/>
      <c r="AF46" s="53"/>
      <c r="AG46" s="53"/>
      <c r="AH46" s="53"/>
      <c r="AI46" s="53"/>
      <c r="AJ46" s="53"/>
      <c r="AK46" s="53"/>
      <c r="AL46" s="53"/>
      <c r="AM46" s="53"/>
      <c r="AN46" s="53"/>
      <c r="AO46" s="53"/>
      <c r="AP46" s="53"/>
      <c r="AQ46" s="53"/>
      <c r="AR46" s="53"/>
    </row>
    <row r="47" spans="2:44" ht="15" customHeight="1">
      <c r="B47" s="150" t="s">
        <v>488</v>
      </c>
      <c r="C47" s="151" t="str">
        <f t="shared" ref="C47" si="28">Единица_измерения</f>
        <v>тыс. руб.</v>
      </c>
      <c r="D47" s="156">
        <f>SUM(J47:AL47)</f>
        <v>375000</v>
      </c>
      <c r="E47" s="28">
        <v>35094</v>
      </c>
      <c r="F47" s="28">
        <v>35094</v>
      </c>
      <c r="G47" s="28">
        <v>48885</v>
      </c>
      <c r="H47" s="28">
        <v>35152</v>
      </c>
      <c r="I47" s="28">
        <v>44000</v>
      </c>
      <c r="J47" s="28">
        <v>15000</v>
      </c>
      <c r="K47" s="28">
        <v>18000</v>
      </c>
      <c r="L47" s="28">
        <v>18000</v>
      </c>
      <c r="M47" s="28">
        <v>18000</v>
      </c>
      <c r="N47" s="28">
        <v>18000</v>
      </c>
      <c r="O47" s="28">
        <v>18000</v>
      </c>
      <c r="P47" s="28">
        <v>18000</v>
      </c>
      <c r="Q47" s="28">
        <v>18000</v>
      </c>
      <c r="R47" s="28">
        <v>18000</v>
      </c>
      <c r="S47" s="28">
        <v>18000</v>
      </c>
      <c r="T47" s="28">
        <v>18000</v>
      </c>
      <c r="U47" s="28">
        <v>18000</v>
      </c>
      <c r="V47" s="28">
        <v>18000</v>
      </c>
      <c r="W47" s="28">
        <v>18000</v>
      </c>
      <c r="X47" s="28">
        <v>18000</v>
      </c>
      <c r="Y47" s="28">
        <v>18000</v>
      </c>
      <c r="Z47" s="28">
        <v>18000</v>
      </c>
      <c r="AA47" s="28">
        <v>18000</v>
      </c>
      <c r="AB47" s="28">
        <v>18000</v>
      </c>
      <c r="AC47" s="28">
        <v>18000</v>
      </c>
      <c r="AD47" s="28">
        <v>18000</v>
      </c>
      <c r="AE47" s="28"/>
      <c r="AF47" s="28"/>
      <c r="AG47" s="28"/>
      <c r="AH47" s="28"/>
      <c r="AI47" s="28"/>
      <c r="AJ47" s="28"/>
      <c r="AK47" s="28"/>
      <c r="AL47" s="28"/>
    </row>
    <row r="48" spans="2:44" ht="15" customHeight="1">
      <c r="B48" s="56"/>
      <c r="D48" s="52"/>
      <c r="E48" s="53"/>
      <c r="F48" s="53"/>
      <c r="G48" s="53"/>
      <c r="H48" s="53"/>
      <c r="I48" s="53"/>
      <c r="J48" s="53"/>
      <c r="K48" s="53"/>
      <c r="L48" s="53"/>
      <c r="M48" s="53"/>
      <c r="N48" s="53"/>
      <c r="O48" s="53"/>
      <c r="P48" s="53"/>
      <c r="Q48" s="53"/>
      <c r="R48" s="53"/>
      <c r="S48" s="53"/>
      <c r="T48" s="53"/>
      <c r="U48" s="53"/>
      <c r="V48" s="53"/>
      <c r="W48" s="53"/>
      <c r="X48" s="53"/>
      <c r="Y48" s="53"/>
      <c r="Z48" s="53"/>
      <c r="AA48" s="53"/>
      <c r="AB48" s="53"/>
      <c r="AC48" s="53"/>
      <c r="AD48" s="53"/>
      <c r="AE48" s="53"/>
      <c r="AF48" s="53"/>
      <c r="AG48" s="53"/>
      <c r="AH48" s="53"/>
      <c r="AI48" s="53"/>
      <c r="AJ48" s="53"/>
      <c r="AK48" s="53"/>
      <c r="AL48" s="53"/>
      <c r="AM48" s="53"/>
      <c r="AN48" s="53"/>
      <c r="AO48" s="53"/>
      <c r="AP48" s="53"/>
      <c r="AQ48" s="53"/>
      <c r="AR48" s="53"/>
    </row>
    <row r="49" spans="2:44" ht="31.5">
      <c r="B49" s="56" t="s">
        <v>198</v>
      </c>
      <c r="D49" s="52"/>
      <c r="E49" s="53"/>
      <c r="F49" s="53"/>
      <c r="G49" s="53"/>
      <c r="H49" s="53"/>
      <c r="I49" s="53"/>
      <c r="J49" s="53"/>
      <c r="K49" s="53"/>
      <c r="L49" s="53"/>
      <c r="M49" s="53"/>
      <c r="N49" s="53"/>
      <c r="O49" s="53"/>
      <c r="P49" s="53"/>
      <c r="Q49" s="53"/>
      <c r="R49" s="53"/>
      <c r="S49" s="53"/>
      <c r="T49" s="53"/>
      <c r="U49" s="53"/>
      <c r="V49" s="53"/>
      <c r="W49" s="53"/>
      <c r="X49" s="53"/>
      <c r="Y49" s="53"/>
      <c r="Z49" s="53"/>
      <c r="AA49" s="53"/>
      <c r="AB49" s="53"/>
      <c r="AC49" s="53"/>
      <c r="AD49" s="53"/>
      <c r="AE49" s="53"/>
      <c r="AF49" s="53"/>
      <c r="AG49" s="53"/>
      <c r="AH49" s="53"/>
      <c r="AI49" s="53"/>
      <c r="AJ49" s="53"/>
      <c r="AK49" s="53"/>
      <c r="AL49" s="53"/>
      <c r="AM49" s="53"/>
      <c r="AN49" s="53"/>
      <c r="AO49" s="53"/>
      <c r="AP49" s="53"/>
      <c r="AQ49" s="53"/>
      <c r="AR49" s="53"/>
    </row>
    <row r="50" spans="2:44" ht="21">
      <c r="B50" s="52" t="s">
        <v>80</v>
      </c>
      <c r="D50" s="52"/>
      <c r="E50" s="53"/>
      <c r="F50" s="53"/>
      <c r="G50" s="53"/>
      <c r="H50" s="53"/>
      <c r="I50" s="53"/>
      <c r="J50" s="53"/>
      <c r="K50" s="53"/>
      <c r="L50" s="53"/>
      <c r="M50" s="53"/>
      <c r="N50" s="53"/>
      <c r="O50" s="53"/>
      <c r="P50" s="53"/>
      <c r="Q50" s="53"/>
      <c r="R50" s="53"/>
      <c r="S50" s="53"/>
      <c r="T50" s="53"/>
      <c r="U50" s="53"/>
      <c r="V50" s="53"/>
      <c r="W50" s="53"/>
      <c r="X50" s="53"/>
      <c r="Y50" s="53"/>
      <c r="Z50" s="53"/>
      <c r="AA50" s="53"/>
      <c r="AB50" s="53"/>
      <c r="AC50" s="53"/>
      <c r="AD50" s="53"/>
      <c r="AE50" s="53"/>
      <c r="AF50" s="53"/>
      <c r="AG50" s="53"/>
      <c r="AH50" s="53"/>
      <c r="AI50" s="53"/>
      <c r="AJ50" s="53"/>
      <c r="AK50" s="53"/>
      <c r="AL50" s="53"/>
      <c r="AM50" s="53"/>
      <c r="AN50" s="53"/>
      <c r="AO50" s="53"/>
      <c r="AP50" s="53"/>
      <c r="AQ50" s="53"/>
      <c r="AR50" s="53"/>
    </row>
    <row r="51" spans="2:44" ht="15" customHeight="1">
      <c r="B51" s="150" t="s">
        <v>488</v>
      </c>
      <c r="C51" s="151" t="str">
        <f t="shared" ref="C51:C68" si="29">Единица_измерения</f>
        <v>тыс. руб.</v>
      </c>
      <c r="D51" s="156">
        <f>SUM(J51:AL51)</f>
        <v>592384.03</v>
      </c>
      <c r="E51" s="152">
        <f t="shared" ref="E51:AD51" si="30">SUM(E16,E47)</f>
        <v>35094</v>
      </c>
      <c r="F51" s="152">
        <f t="shared" si="30"/>
        <v>35094</v>
      </c>
      <c r="G51" s="152">
        <f t="shared" si="30"/>
        <v>48885</v>
      </c>
      <c r="H51" s="152">
        <f t="shared" si="30"/>
        <v>35152</v>
      </c>
      <c r="I51" s="152">
        <v>60000</v>
      </c>
      <c r="J51" s="152">
        <f t="shared" si="30"/>
        <v>15000</v>
      </c>
      <c r="K51" s="152">
        <f t="shared" si="30"/>
        <v>19301.599999999999</v>
      </c>
      <c r="L51" s="152">
        <f t="shared" si="30"/>
        <v>19301.599999999999</v>
      </c>
      <c r="M51" s="152">
        <f t="shared" si="30"/>
        <v>19301.599999999999</v>
      </c>
      <c r="N51" s="152">
        <f t="shared" si="30"/>
        <v>19301.599999999999</v>
      </c>
      <c r="O51" s="152">
        <f t="shared" si="30"/>
        <v>24827.63</v>
      </c>
      <c r="P51" s="152">
        <f t="shared" si="30"/>
        <v>24827.63</v>
      </c>
      <c r="Q51" s="152">
        <f t="shared" si="30"/>
        <v>26863.13</v>
      </c>
      <c r="R51" s="152">
        <f t="shared" si="30"/>
        <v>26863.13</v>
      </c>
      <c r="S51" s="152">
        <f t="shared" si="30"/>
        <v>27304.63</v>
      </c>
      <c r="T51" s="152">
        <f t="shared" si="30"/>
        <v>27304.63</v>
      </c>
      <c r="U51" s="152">
        <f t="shared" si="30"/>
        <v>29569.33</v>
      </c>
      <c r="V51" s="152">
        <f t="shared" si="30"/>
        <v>30183.43</v>
      </c>
      <c r="W51" s="152">
        <f t="shared" si="30"/>
        <v>32256.43</v>
      </c>
      <c r="X51" s="152">
        <f t="shared" si="30"/>
        <v>33324.879999999997</v>
      </c>
      <c r="Y51" s="152">
        <f t="shared" si="30"/>
        <v>36142.130000000005</v>
      </c>
      <c r="Z51" s="152">
        <f t="shared" si="30"/>
        <v>36142.130000000005</v>
      </c>
      <c r="AA51" s="152">
        <f t="shared" si="30"/>
        <v>36142.130000000005</v>
      </c>
      <c r="AB51" s="152">
        <f t="shared" si="30"/>
        <v>36142.130000000005</v>
      </c>
      <c r="AC51" s="152">
        <f t="shared" si="30"/>
        <v>36142.130000000005</v>
      </c>
      <c r="AD51" s="152">
        <f t="shared" si="30"/>
        <v>36142.130000000005</v>
      </c>
      <c r="AE51" s="152"/>
      <c r="AF51" s="152"/>
      <c r="AG51" s="152"/>
      <c r="AH51" s="152"/>
      <c r="AI51" s="152"/>
      <c r="AJ51" s="152"/>
      <c r="AK51" s="152"/>
      <c r="AL51" s="152"/>
    </row>
    <row r="52" spans="2:44" ht="15" customHeight="1">
      <c r="B52" s="158" t="s">
        <v>444</v>
      </c>
      <c r="C52" s="159" t="s">
        <v>94</v>
      </c>
      <c r="D52" s="159"/>
      <c r="E52" s="161"/>
      <c r="F52" s="161">
        <f t="shared" ref="F52:I52" si="31">IFERROR(F51/E51-1,)</f>
        <v>0</v>
      </c>
      <c r="G52" s="161">
        <f t="shared" si="31"/>
        <v>0.39297315780475306</v>
      </c>
      <c r="H52" s="161"/>
      <c r="I52" s="161">
        <f t="shared" si="31"/>
        <v>0.7068730086481565</v>
      </c>
      <c r="J52" s="161"/>
      <c r="K52" s="161">
        <f>IFERROR(K51/J51-1,)</f>
        <v>0.28677333333333332</v>
      </c>
      <c r="L52" s="161">
        <f t="shared" ref="L52:AD52" si="32">IFERROR(L51/K51-1,)</f>
        <v>0</v>
      </c>
      <c r="M52" s="161">
        <f t="shared" si="32"/>
        <v>0</v>
      </c>
      <c r="N52" s="161">
        <f t="shared" si="32"/>
        <v>0</v>
      </c>
      <c r="O52" s="161">
        <f t="shared" si="32"/>
        <v>0.28629906329009014</v>
      </c>
      <c r="P52" s="161">
        <f t="shared" si="32"/>
        <v>0</v>
      </c>
      <c r="Q52" s="161">
        <f t="shared" si="32"/>
        <v>8.1985272053756164E-2</v>
      </c>
      <c r="R52" s="161">
        <f t="shared" si="32"/>
        <v>0</v>
      </c>
      <c r="S52" s="161">
        <f t="shared" si="32"/>
        <v>1.6435165969118204E-2</v>
      </c>
      <c r="T52" s="161">
        <f t="shared" si="32"/>
        <v>0</v>
      </c>
      <c r="U52" s="161">
        <f t="shared" si="32"/>
        <v>8.2941977239757492E-2</v>
      </c>
      <c r="V52" s="161">
        <f t="shared" si="32"/>
        <v>2.0768140502338106E-2</v>
      </c>
      <c r="W52" s="161">
        <f t="shared" si="32"/>
        <v>6.868006717593067E-2</v>
      </c>
      <c r="X52" s="161">
        <f t="shared" si="32"/>
        <v>3.3123628374249536E-2</v>
      </c>
      <c r="Y52" s="161">
        <f t="shared" si="32"/>
        <v>8.4538939074949582E-2</v>
      </c>
      <c r="Z52" s="161">
        <f t="shared" si="32"/>
        <v>0</v>
      </c>
      <c r="AA52" s="161">
        <f t="shared" si="32"/>
        <v>0</v>
      </c>
      <c r="AB52" s="161">
        <f t="shared" si="32"/>
        <v>0</v>
      </c>
      <c r="AC52" s="161">
        <f t="shared" si="32"/>
        <v>0</v>
      </c>
      <c r="AD52" s="161">
        <f t="shared" si="32"/>
        <v>0</v>
      </c>
      <c r="AE52" s="161"/>
      <c r="AF52" s="161"/>
      <c r="AG52" s="161"/>
      <c r="AH52" s="161"/>
      <c r="AI52" s="161"/>
      <c r="AJ52" s="161"/>
      <c r="AK52" s="161"/>
      <c r="AL52" s="161"/>
    </row>
    <row r="53" spans="2:44" ht="15" customHeight="1">
      <c r="B53" s="168" t="s">
        <v>86</v>
      </c>
      <c r="C53" s="151" t="str">
        <f t="shared" si="29"/>
        <v>тыс. руб.</v>
      </c>
      <c r="D53" s="156">
        <f>SUM(J53:AL53)</f>
        <v>-318500</v>
      </c>
      <c r="E53" s="38">
        <v>-33385</v>
      </c>
      <c r="F53" s="38">
        <v>-6927</v>
      </c>
      <c r="G53" s="38">
        <v>-15250</v>
      </c>
      <c r="H53" s="38">
        <v>-12709</v>
      </c>
      <c r="I53" s="38">
        <v>-30600</v>
      </c>
      <c r="J53" s="38">
        <v>-7500</v>
      </c>
      <c r="K53" s="38">
        <v>-10000</v>
      </c>
      <c r="L53" s="38">
        <v>-10000</v>
      </c>
      <c r="M53" s="38">
        <v>-10000</v>
      </c>
      <c r="N53" s="38">
        <v>-10000</v>
      </c>
      <c r="O53" s="38">
        <v>-13500</v>
      </c>
      <c r="P53" s="38">
        <v>-13500</v>
      </c>
      <c r="Q53" s="38">
        <v>-15000</v>
      </c>
      <c r="R53" s="38">
        <v>-15000</v>
      </c>
      <c r="S53" s="38">
        <v>-15000</v>
      </c>
      <c r="T53" s="38">
        <v>-15000</v>
      </c>
      <c r="U53" s="38">
        <v>-17000</v>
      </c>
      <c r="V53" s="38">
        <v>-17000</v>
      </c>
      <c r="W53" s="38">
        <v>-18000</v>
      </c>
      <c r="X53" s="38">
        <v>-18000</v>
      </c>
      <c r="Y53" s="38">
        <v>-19000</v>
      </c>
      <c r="Z53" s="38">
        <v>-19000</v>
      </c>
      <c r="AA53" s="38">
        <v>-19000</v>
      </c>
      <c r="AB53" s="38">
        <v>-19000</v>
      </c>
      <c r="AC53" s="38">
        <v>-19000</v>
      </c>
      <c r="AD53" s="38">
        <v>-19000</v>
      </c>
      <c r="AE53" s="38"/>
      <c r="AF53" s="38"/>
      <c r="AG53" s="38"/>
      <c r="AH53" s="38"/>
      <c r="AI53" s="38"/>
      <c r="AJ53" s="38"/>
      <c r="AK53" s="38"/>
      <c r="AL53" s="38"/>
    </row>
    <row r="54" spans="2:44" ht="15" customHeight="1">
      <c r="B54" s="169" t="s">
        <v>82</v>
      </c>
      <c r="C54" s="170" t="str">
        <f t="shared" si="29"/>
        <v>тыс. руб.</v>
      </c>
      <c r="D54" s="157">
        <f t="shared" ref="D54:AD54" si="33">D51+D53</f>
        <v>273884.03000000003</v>
      </c>
      <c r="E54" s="157">
        <f t="shared" si="33"/>
        <v>1709</v>
      </c>
      <c r="F54" s="157">
        <f t="shared" si="33"/>
        <v>28167</v>
      </c>
      <c r="G54" s="157">
        <f t="shared" si="33"/>
        <v>33635</v>
      </c>
      <c r="H54" s="157">
        <f t="shared" si="33"/>
        <v>22443</v>
      </c>
      <c r="I54" s="157">
        <f t="shared" si="33"/>
        <v>29400</v>
      </c>
      <c r="J54" s="157">
        <f t="shared" si="33"/>
        <v>7500</v>
      </c>
      <c r="K54" s="157">
        <f t="shared" si="33"/>
        <v>9301.5999999999985</v>
      </c>
      <c r="L54" s="157">
        <f t="shared" si="33"/>
        <v>9301.5999999999985</v>
      </c>
      <c r="M54" s="157">
        <f t="shared" si="33"/>
        <v>9301.5999999999985</v>
      </c>
      <c r="N54" s="157">
        <f t="shared" si="33"/>
        <v>9301.5999999999985</v>
      </c>
      <c r="O54" s="157">
        <f t="shared" si="33"/>
        <v>11327.630000000001</v>
      </c>
      <c r="P54" s="157">
        <f t="shared" si="33"/>
        <v>11327.630000000001</v>
      </c>
      <c r="Q54" s="157">
        <f t="shared" si="33"/>
        <v>11863.130000000001</v>
      </c>
      <c r="R54" s="157">
        <f t="shared" si="33"/>
        <v>11863.130000000001</v>
      </c>
      <c r="S54" s="157">
        <f t="shared" si="33"/>
        <v>12304.630000000001</v>
      </c>
      <c r="T54" s="157">
        <f t="shared" si="33"/>
        <v>12304.630000000001</v>
      </c>
      <c r="U54" s="157">
        <f t="shared" si="33"/>
        <v>12569.330000000002</v>
      </c>
      <c r="V54" s="157">
        <f t="shared" si="33"/>
        <v>13183.43</v>
      </c>
      <c r="W54" s="157">
        <f t="shared" si="33"/>
        <v>14256.43</v>
      </c>
      <c r="X54" s="157">
        <f t="shared" si="33"/>
        <v>15324.879999999997</v>
      </c>
      <c r="Y54" s="157">
        <f t="shared" si="33"/>
        <v>17142.130000000005</v>
      </c>
      <c r="Z54" s="157">
        <f t="shared" si="33"/>
        <v>17142.130000000005</v>
      </c>
      <c r="AA54" s="157">
        <f t="shared" si="33"/>
        <v>17142.130000000005</v>
      </c>
      <c r="AB54" s="157">
        <f t="shared" si="33"/>
        <v>17142.130000000005</v>
      </c>
      <c r="AC54" s="157">
        <f t="shared" si="33"/>
        <v>17142.130000000005</v>
      </c>
      <c r="AD54" s="157">
        <f t="shared" si="33"/>
        <v>17142.130000000005</v>
      </c>
      <c r="AE54" s="157"/>
      <c r="AF54" s="157"/>
      <c r="AG54" s="157"/>
      <c r="AH54" s="157"/>
      <c r="AI54" s="157"/>
      <c r="AJ54" s="157"/>
      <c r="AK54" s="157"/>
      <c r="AL54" s="157"/>
    </row>
    <row r="55" spans="2:44" ht="15" customHeight="1">
      <c r="B55" s="158" t="s">
        <v>452</v>
      </c>
      <c r="C55" s="159" t="s">
        <v>94</v>
      </c>
      <c r="D55" s="159"/>
      <c r="E55" s="171">
        <f t="shared" ref="E55" si="34">IFERROR(E54/E$51,)</f>
        <v>4.8697783096825667E-2</v>
      </c>
      <c r="F55" s="171">
        <f t="shared" ref="F55:AD55" si="35">IFERROR(F54/F$51,)</f>
        <v>0.80261583176611384</v>
      </c>
      <c r="G55" s="171">
        <f t="shared" si="35"/>
        <v>0.68804336708601821</v>
      </c>
      <c r="H55" s="171">
        <f t="shared" si="35"/>
        <v>0.63845584888484297</v>
      </c>
      <c r="I55" s="171">
        <f t="shared" si="35"/>
        <v>0.49</v>
      </c>
      <c r="J55" s="171">
        <f t="shared" si="35"/>
        <v>0.5</v>
      </c>
      <c r="K55" s="171">
        <f t="shared" si="35"/>
        <v>0.48190823558668705</v>
      </c>
      <c r="L55" s="171">
        <f t="shared" si="35"/>
        <v>0.48190823558668705</v>
      </c>
      <c r="M55" s="171">
        <f t="shared" si="35"/>
        <v>0.48190823558668705</v>
      </c>
      <c r="N55" s="171">
        <f t="shared" si="35"/>
        <v>0.48190823558668705</v>
      </c>
      <c r="O55" s="171">
        <f t="shared" si="35"/>
        <v>0.4562509591128916</v>
      </c>
      <c r="P55" s="171">
        <f t="shared" si="35"/>
        <v>0.4562509591128916</v>
      </c>
      <c r="Q55" s="171">
        <f t="shared" si="35"/>
        <v>0.44161384023380745</v>
      </c>
      <c r="R55" s="171">
        <f t="shared" si="35"/>
        <v>0.44161384023380745</v>
      </c>
      <c r="S55" s="171">
        <f t="shared" si="35"/>
        <v>0.45064261995126836</v>
      </c>
      <c r="T55" s="171">
        <f t="shared" si="35"/>
        <v>0.45064261995126836</v>
      </c>
      <c r="U55" s="171">
        <f t="shared" si="35"/>
        <v>0.42507997306668771</v>
      </c>
      <c r="V55" s="171">
        <f t="shared" si="35"/>
        <v>0.43677706609222344</v>
      </c>
      <c r="W55" s="171">
        <f t="shared" si="35"/>
        <v>0.4419717247072909</v>
      </c>
      <c r="X55" s="171">
        <f t="shared" si="35"/>
        <v>0.45986302126219203</v>
      </c>
      <c r="Y55" s="171">
        <f t="shared" si="35"/>
        <v>0.47429772401349901</v>
      </c>
      <c r="Z55" s="171">
        <f t="shared" si="35"/>
        <v>0.47429772401349901</v>
      </c>
      <c r="AA55" s="171">
        <f t="shared" si="35"/>
        <v>0.47429772401349901</v>
      </c>
      <c r="AB55" s="171">
        <f t="shared" si="35"/>
        <v>0.47429772401349901</v>
      </c>
      <c r="AC55" s="171">
        <f t="shared" si="35"/>
        <v>0.47429772401349901</v>
      </c>
      <c r="AD55" s="171">
        <f t="shared" si="35"/>
        <v>0.47429772401349901</v>
      </c>
      <c r="AE55" s="171"/>
      <c r="AF55" s="171"/>
      <c r="AG55" s="171"/>
      <c r="AH55" s="171"/>
      <c r="AI55" s="171"/>
      <c r="AJ55" s="171"/>
      <c r="AK55" s="171"/>
      <c r="AL55" s="171"/>
    </row>
    <row r="56" spans="2:44" ht="15" customHeight="1">
      <c r="B56" s="150" t="s">
        <v>84</v>
      </c>
      <c r="C56" s="151" t="str">
        <f t="shared" si="29"/>
        <v>тыс. руб.</v>
      </c>
      <c r="D56" s="156">
        <f>SUM(J56:AL56)</f>
        <v>0</v>
      </c>
      <c r="E56" s="38"/>
      <c r="F56" s="38"/>
      <c r="G56" s="38"/>
      <c r="H56" s="38"/>
      <c r="I56" s="38"/>
      <c r="J56" s="38"/>
      <c r="K56" s="38"/>
      <c r="L56" s="38"/>
      <c r="M56" s="38"/>
      <c r="N56" s="38"/>
      <c r="O56" s="38"/>
      <c r="P56" s="38"/>
      <c r="Q56" s="38"/>
      <c r="R56" s="38"/>
      <c r="S56" s="38"/>
      <c r="T56" s="38"/>
      <c r="U56" s="38"/>
      <c r="V56" s="38"/>
      <c r="W56" s="38"/>
      <c r="X56" s="38"/>
      <c r="Y56" s="38"/>
      <c r="Z56" s="38"/>
      <c r="AA56" s="38"/>
      <c r="AB56" s="38"/>
      <c r="AC56" s="38"/>
      <c r="AD56" s="38"/>
      <c r="AE56" s="38"/>
      <c r="AF56" s="38"/>
      <c r="AG56" s="38"/>
      <c r="AH56" s="38"/>
      <c r="AI56" s="38"/>
      <c r="AJ56" s="38"/>
      <c r="AK56" s="38"/>
      <c r="AL56" s="38"/>
    </row>
    <row r="57" spans="2:44" ht="15" customHeight="1">
      <c r="B57" s="150" t="s">
        <v>85</v>
      </c>
      <c r="C57" s="151" t="str">
        <f t="shared" si="29"/>
        <v>тыс. руб.</v>
      </c>
      <c r="D57" s="156">
        <f>SUM(J57:AL57)</f>
        <v>-105000</v>
      </c>
      <c r="E57" s="38"/>
      <c r="F57" s="38">
        <v>-19195</v>
      </c>
      <c r="G57" s="38">
        <v>-21985</v>
      </c>
      <c r="H57" s="38">
        <v>-16034</v>
      </c>
      <c r="I57" s="38">
        <v>-15924</v>
      </c>
      <c r="J57" s="38">
        <v>-5000</v>
      </c>
      <c r="K57" s="38">
        <v>-5000</v>
      </c>
      <c r="L57" s="38">
        <v>-5000</v>
      </c>
      <c r="M57" s="38">
        <v>-5000</v>
      </c>
      <c r="N57" s="38">
        <v>-5000</v>
      </c>
      <c r="O57" s="38">
        <v>-5000</v>
      </c>
      <c r="P57" s="38">
        <v>-5000</v>
      </c>
      <c r="Q57" s="38">
        <v>-5000</v>
      </c>
      <c r="R57" s="38">
        <v>-5000</v>
      </c>
      <c r="S57" s="38">
        <v>-5000</v>
      </c>
      <c r="T57" s="38">
        <v>-5000</v>
      </c>
      <c r="U57" s="38">
        <v>-5000</v>
      </c>
      <c r="V57" s="38">
        <v>-5000</v>
      </c>
      <c r="W57" s="38">
        <v>-5000</v>
      </c>
      <c r="X57" s="38">
        <v>-5000</v>
      </c>
      <c r="Y57" s="38">
        <v>-5000</v>
      </c>
      <c r="Z57" s="38">
        <v>-5000</v>
      </c>
      <c r="AA57" s="38">
        <v>-5000</v>
      </c>
      <c r="AB57" s="38">
        <v>-5000</v>
      </c>
      <c r="AC57" s="38">
        <v>-5000</v>
      </c>
      <c r="AD57" s="38">
        <v>-5000</v>
      </c>
      <c r="AE57" s="38"/>
      <c r="AF57" s="38"/>
      <c r="AG57" s="38"/>
      <c r="AH57" s="38"/>
      <c r="AI57" s="38"/>
      <c r="AJ57" s="38"/>
      <c r="AK57" s="38"/>
      <c r="AL57" s="38"/>
    </row>
    <row r="58" spans="2:44" ht="15" customHeight="1">
      <c r="B58" s="169" t="s">
        <v>83</v>
      </c>
      <c r="C58" s="170" t="str">
        <f t="shared" si="29"/>
        <v>тыс. руб.</v>
      </c>
      <c r="D58" s="157">
        <f t="shared" ref="D58:E58" si="36">SUM(D54,D56,D57)</f>
        <v>168884.03000000003</v>
      </c>
      <c r="E58" s="157">
        <f t="shared" si="36"/>
        <v>1709</v>
      </c>
      <c r="F58" s="157">
        <f t="shared" ref="F58:AD58" si="37">SUM(F54,F56,F57)</f>
        <v>8972</v>
      </c>
      <c r="G58" s="157">
        <f t="shared" si="37"/>
        <v>11650</v>
      </c>
      <c r="H58" s="157">
        <f t="shared" si="37"/>
        <v>6409</v>
      </c>
      <c r="I58" s="157">
        <f t="shared" si="37"/>
        <v>13476</v>
      </c>
      <c r="J58" s="157">
        <f t="shared" si="37"/>
        <v>2500</v>
      </c>
      <c r="K58" s="157">
        <f t="shared" si="37"/>
        <v>4301.5999999999985</v>
      </c>
      <c r="L58" s="157">
        <f t="shared" si="37"/>
        <v>4301.5999999999985</v>
      </c>
      <c r="M58" s="157">
        <f t="shared" si="37"/>
        <v>4301.5999999999985</v>
      </c>
      <c r="N58" s="157">
        <f t="shared" si="37"/>
        <v>4301.5999999999985</v>
      </c>
      <c r="O58" s="157">
        <f t="shared" si="37"/>
        <v>6327.630000000001</v>
      </c>
      <c r="P58" s="157">
        <f t="shared" si="37"/>
        <v>6327.630000000001</v>
      </c>
      <c r="Q58" s="157">
        <f t="shared" si="37"/>
        <v>6863.130000000001</v>
      </c>
      <c r="R58" s="157">
        <f t="shared" si="37"/>
        <v>6863.130000000001</v>
      </c>
      <c r="S58" s="157">
        <f t="shared" si="37"/>
        <v>7304.630000000001</v>
      </c>
      <c r="T58" s="157">
        <f t="shared" si="37"/>
        <v>7304.630000000001</v>
      </c>
      <c r="U58" s="157">
        <f t="shared" si="37"/>
        <v>7569.3300000000017</v>
      </c>
      <c r="V58" s="157">
        <f t="shared" si="37"/>
        <v>8183.43</v>
      </c>
      <c r="W58" s="157">
        <f t="shared" si="37"/>
        <v>9256.43</v>
      </c>
      <c r="X58" s="157">
        <f t="shared" si="37"/>
        <v>10324.879999999997</v>
      </c>
      <c r="Y58" s="157">
        <f t="shared" si="37"/>
        <v>12142.130000000005</v>
      </c>
      <c r="Z58" s="157">
        <f t="shared" si="37"/>
        <v>12142.130000000005</v>
      </c>
      <c r="AA58" s="157">
        <f t="shared" si="37"/>
        <v>12142.130000000005</v>
      </c>
      <c r="AB58" s="157">
        <f t="shared" si="37"/>
        <v>12142.130000000005</v>
      </c>
      <c r="AC58" s="157">
        <f t="shared" si="37"/>
        <v>12142.130000000005</v>
      </c>
      <c r="AD58" s="157">
        <f t="shared" si="37"/>
        <v>12142.130000000005</v>
      </c>
      <c r="AE58" s="157"/>
      <c r="AF58" s="157"/>
      <c r="AG58" s="157"/>
      <c r="AH58" s="157"/>
      <c r="AI58" s="157"/>
      <c r="AJ58" s="157"/>
      <c r="AK58" s="157"/>
      <c r="AL58" s="157"/>
    </row>
    <row r="59" spans="2:44" ht="15" customHeight="1">
      <c r="B59" s="158" t="s">
        <v>452</v>
      </c>
      <c r="C59" s="159" t="s">
        <v>94</v>
      </c>
      <c r="D59" s="159"/>
      <c r="E59" s="171">
        <f t="shared" ref="E59" si="38">IFERROR(E58/E$51,)</f>
        <v>4.8697783096825667E-2</v>
      </c>
      <c r="F59" s="171">
        <f t="shared" ref="F59:AD59" si="39">IFERROR(F58/F$51,)</f>
        <v>0.25565623753348149</v>
      </c>
      <c r="G59" s="171">
        <f t="shared" si="39"/>
        <v>0.23831441137363199</v>
      </c>
      <c r="H59" s="171">
        <f t="shared" si="39"/>
        <v>0.18232248520710059</v>
      </c>
      <c r="I59" s="171">
        <f t="shared" si="39"/>
        <v>0.22459999999999999</v>
      </c>
      <c r="J59" s="171">
        <f t="shared" si="39"/>
        <v>0.16666666666666666</v>
      </c>
      <c r="K59" s="171">
        <f t="shared" si="39"/>
        <v>0.2228623533800306</v>
      </c>
      <c r="L59" s="171">
        <f t="shared" si="39"/>
        <v>0.2228623533800306</v>
      </c>
      <c r="M59" s="171">
        <f t="shared" si="39"/>
        <v>0.2228623533800306</v>
      </c>
      <c r="N59" s="171">
        <f t="shared" si="39"/>
        <v>0.2228623533800306</v>
      </c>
      <c r="O59" s="171">
        <f t="shared" si="39"/>
        <v>0.25486242545099957</v>
      </c>
      <c r="P59" s="171">
        <f t="shared" si="39"/>
        <v>0.25486242545099957</v>
      </c>
      <c r="Q59" s="171">
        <f t="shared" si="39"/>
        <v>0.25548512031174331</v>
      </c>
      <c r="R59" s="171">
        <f t="shared" si="39"/>
        <v>0.25548512031174331</v>
      </c>
      <c r="S59" s="171">
        <f t="shared" si="39"/>
        <v>0.26752349326835784</v>
      </c>
      <c r="T59" s="171">
        <f t="shared" si="39"/>
        <v>0.26752349326835784</v>
      </c>
      <c r="U59" s="171">
        <f t="shared" si="39"/>
        <v>0.25598584749806647</v>
      </c>
      <c r="V59" s="171">
        <f t="shared" si="39"/>
        <v>0.27112326200170095</v>
      </c>
      <c r="W59" s="171">
        <f t="shared" si="39"/>
        <v>0.28696387045931621</v>
      </c>
      <c r="X59" s="171">
        <f t="shared" si="39"/>
        <v>0.30982497161280093</v>
      </c>
      <c r="Y59" s="171">
        <f t="shared" si="39"/>
        <v>0.33595501980652503</v>
      </c>
      <c r="Z59" s="171">
        <f t="shared" si="39"/>
        <v>0.33595501980652503</v>
      </c>
      <c r="AA59" s="171">
        <f t="shared" si="39"/>
        <v>0.33595501980652503</v>
      </c>
      <c r="AB59" s="171">
        <f t="shared" si="39"/>
        <v>0.33595501980652503</v>
      </c>
      <c r="AC59" s="171">
        <f t="shared" si="39"/>
        <v>0.33595501980652503</v>
      </c>
      <c r="AD59" s="171">
        <f t="shared" si="39"/>
        <v>0.33595501980652503</v>
      </c>
      <c r="AE59" s="171"/>
      <c r="AF59" s="171"/>
      <c r="AG59" s="171"/>
      <c r="AH59" s="171"/>
      <c r="AI59" s="171"/>
      <c r="AJ59" s="171"/>
      <c r="AK59" s="171"/>
      <c r="AL59" s="171"/>
    </row>
    <row r="60" spans="2:44" ht="15" customHeight="1">
      <c r="B60" s="150" t="s">
        <v>134</v>
      </c>
      <c r="C60" s="151" t="str">
        <f t="shared" si="29"/>
        <v>тыс. руб.</v>
      </c>
      <c r="D60" s="156">
        <f>SUM(J60:AL60)</f>
        <v>0</v>
      </c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8"/>
      <c r="S60" s="28"/>
      <c r="T60" s="28"/>
      <c r="U60" s="28"/>
      <c r="V60" s="28"/>
      <c r="W60" s="28"/>
      <c r="X60" s="28"/>
      <c r="Y60" s="28"/>
      <c r="Z60" s="28"/>
      <c r="AA60" s="28"/>
      <c r="AB60" s="28"/>
      <c r="AC60" s="28"/>
      <c r="AD60" s="28"/>
      <c r="AE60" s="28"/>
      <c r="AF60" s="28"/>
      <c r="AG60" s="28"/>
      <c r="AH60" s="28"/>
      <c r="AI60" s="28"/>
      <c r="AJ60" s="28"/>
      <c r="AK60" s="28"/>
      <c r="AL60" s="28"/>
    </row>
    <row r="61" spans="2:44" ht="15" customHeight="1">
      <c r="B61" s="150" t="s">
        <v>87</v>
      </c>
      <c r="C61" s="151" t="str">
        <f t="shared" si="29"/>
        <v>тыс. руб.</v>
      </c>
      <c r="D61" s="156">
        <f>SUM(J61:AL61)</f>
        <v>0</v>
      </c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  <c r="U61" s="28"/>
      <c r="V61" s="28"/>
      <c r="W61" s="28"/>
      <c r="X61" s="28"/>
      <c r="Y61" s="28"/>
      <c r="Z61" s="28"/>
      <c r="AA61" s="28"/>
      <c r="AB61" s="28"/>
      <c r="AC61" s="28"/>
      <c r="AD61" s="28"/>
      <c r="AE61" s="28"/>
      <c r="AF61" s="28"/>
      <c r="AG61" s="28"/>
      <c r="AH61" s="28"/>
      <c r="AI61" s="28"/>
      <c r="AJ61" s="28"/>
      <c r="AK61" s="28"/>
      <c r="AL61" s="28"/>
    </row>
    <row r="62" spans="2:44" ht="15" customHeight="1">
      <c r="B62" s="150" t="s">
        <v>89</v>
      </c>
      <c r="C62" s="151" t="str">
        <f t="shared" si="29"/>
        <v>тыс. руб.</v>
      </c>
      <c r="D62" s="156">
        <f>SUM(J62:AL62)</f>
        <v>-1667</v>
      </c>
      <c r="E62" s="38"/>
      <c r="F62" s="38"/>
      <c r="G62" s="38"/>
      <c r="H62" s="38"/>
      <c r="I62" s="38"/>
      <c r="J62" s="38">
        <v>-23</v>
      </c>
      <c r="K62" s="38">
        <v>-113</v>
      </c>
      <c r="L62" s="38">
        <v>-112</v>
      </c>
      <c r="M62" s="38">
        <v>-113</v>
      </c>
      <c r="N62" s="38">
        <v>-113</v>
      </c>
      <c r="O62" s="38">
        <v>-113</v>
      </c>
      <c r="P62" s="38">
        <v>-113</v>
      </c>
      <c r="Q62" s="38">
        <v>-113</v>
      </c>
      <c r="R62" s="38">
        <v>-112</v>
      </c>
      <c r="S62" s="38">
        <v>-113</v>
      </c>
      <c r="T62" s="38">
        <v>-105</v>
      </c>
      <c r="U62" s="38">
        <v>-95</v>
      </c>
      <c r="V62" s="38">
        <v>-85</v>
      </c>
      <c r="W62" s="38">
        <v>-76</v>
      </c>
      <c r="X62" s="38">
        <v>-67</v>
      </c>
      <c r="Y62" s="38">
        <v>-58</v>
      </c>
      <c r="Z62" s="38">
        <v>-47</v>
      </c>
      <c r="AA62" s="38">
        <v>-40</v>
      </c>
      <c r="AB62" s="38">
        <v>-29</v>
      </c>
      <c r="AC62" s="38">
        <v>-19</v>
      </c>
      <c r="AD62" s="38">
        <v>-8</v>
      </c>
      <c r="AE62" s="38"/>
      <c r="AF62" s="38"/>
      <c r="AG62" s="38"/>
      <c r="AH62" s="38"/>
      <c r="AI62" s="38"/>
      <c r="AJ62" s="38"/>
      <c r="AK62" s="38"/>
      <c r="AL62" s="38"/>
    </row>
    <row r="63" spans="2:44" ht="15" customHeight="1">
      <c r="B63" s="150" t="s">
        <v>88</v>
      </c>
      <c r="C63" s="151" t="str">
        <f t="shared" si="29"/>
        <v>тыс. руб.</v>
      </c>
      <c r="D63" s="156">
        <f>SUM(J63:AL63)</f>
        <v>0</v>
      </c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28"/>
      <c r="AB63" s="28"/>
      <c r="AC63" s="28"/>
      <c r="AD63" s="28"/>
      <c r="AE63" s="28"/>
      <c r="AF63" s="28"/>
      <c r="AG63" s="28"/>
      <c r="AH63" s="28"/>
      <c r="AI63" s="28"/>
      <c r="AJ63" s="28"/>
      <c r="AK63" s="28"/>
      <c r="AL63" s="28"/>
    </row>
    <row r="64" spans="2:44" ht="15" customHeight="1">
      <c r="B64" s="150" t="s">
        <v>90</v>
      </c>
      <c r="C64" s="151" t="str">
        <f t="shared" si="29"/>
        <v>тыс. руб.</v>
      </c>
      <c r="D64" s="156">
        <f>SUM(J64:AL64)</f>
        <v>-3570</v>
      </c>
      <c r="E64" s="38">
        <v>-1340</v>
      </c>
      <c r="F64" s="38">
        <v>-146</v>
      </c>
      <c r="G64" s="38">
        <v>-148</v>
      </c>
      <c r="H64" s="38">
        <v>-47</v>
      </c>
      <c r="I64" s="38">
        <v>-159</v>
      </c>
      <c r="J64" s="38">
        <v>-170</v>
      </c>
      <c r="K64" s="38">
        <v>-170</v>
      </c>
      <c r="L64" s="38">
        <v>-170</v>
      </c>
      <c r="M64" s="38">
        <v>-170</v>
      </c>
      <c r="N64" s="38">
        <v>-170</v>
      </c>
      <c r="O64" s="38">
        <v>-170</v>
      </c>
      <c r="P64" s="38">
        <v>-170</v>
      </c>
      <c r="Q64" s="38">
        <v>-170</v>
      </c>
      <c r="R64" s="38">
        <v>-170</v>
      </c>
      <c r="S64" s="38">
        <v>-170</v>
      </c>
      <c r="T64" s="38">
        <v>-170</v>
      </c>
      <c r="U64" s="38">
        <v>-170</v>
      </c>
      <c r="V64" s="38">
        <v>-170</v>
      </c>
      <c r="W64" s="38">
        <v>-170</v>
      </c>
      <c r="X64" s="38">
        <v>-170</v>
      </c>
      <c r="Y64" s="38">
        <v>-170</v>
      </c>
      <c r="Z64" s="38">
        <v>-170</v>
      </c>
      <c r="AA64" s="38">
        <v>-170</v>
      </c>
      <c r="AB64" s="38">
        <v>-170</v>
      </c>
      <c r="AC64" s="38">
        <v>-170</v>
      </c>
      <c r="AD64" s="38">
        <v>-170</v>
      </c>
      <c r="AE64" s="38"/>
      <c r="AF64" s="38"/>
      <c r="AG64" s="38"/>
      <c r="AH64" s="38"/>
      <c r="AI64" s="38"/>
      <c r="AJ64" s="38"/>
      <c r="AK64" s="38"/>
      <c r="AL64" s="38"/>
    </row>
    <row r="65" spans="2:44" ht="15" customHeight="1">
      <c r="B65" s="169" t="s">
        <v>91</v>
      </c>
      <c r="C65" s="170" t="str">
        <f t="shared" si="29"/>
        <v>тыс. руб.</v>
      </c>
      <c r="D65" s="157">
        <f t="shared" ref="D65:E65" si="40">SUM(D58,D60,D61,D62,D63,D64)</f>
        <v>163647.03000000003</v>
      </c>
      <c r="E65" s="157">
        <f t="shared" si="40"/>
        <v>369</v>
      </c>
      <c r="F65" s="157">
        <f t="shared" ref="F65:J65" si="41">SUM(F58,F60,F61,F62,F63,F64)</f>
        <v>8826</v>
      </c>
      <c r="G65" s="157">
        <f t="shared" si="41"/>
        <v>11502</v>
      </c>
      <c r="H65" s="157">
        <f t="shared" si="41"/>
        <v>6362</v>
      </c>
      <c r="I65" s="157">
        <f t="shared" si="41"/>
        <v>13317</v>
      </c>
      <c r="J65" s="157">
        <f t="shared" si="41"/>
        <v>2307</v>
      </c>
      <c r="K65" s="157">
        <f t="shared" ref="K65:AD65" si="42">SUM(K58,K60,K61,K62,K63,K64)</f>
        <v>4018.5999999999985</v>
      </c>
      <c r="L65" s="157">
        <f t="shared" si="42"/>
        <v>4019.5999999999985</v>
      </c>
      <c r="M65" s="157">
        <f t="shared" si="42"/>
        <v>4018.5999999999985</v>
      </c>
      <c r="N65" s="157">
        <f t="shared" si="42"/>
        <v>4018.5999999999985</v>
      </c>
      <c r="O65" s="157">
        <f t="shared" si="42"/>
        <v>6044.630000000001</v>
      </c>
      <c r="P65" s="157">
        <f t="shared" si="42"/>
        <v>6044.630000000001</v>
      </c>
      <c r="Q65" s="157">
        <f t="shared" si="42"/>
        <v>6580.130000000001</v>
      </c>
      <c r="R65" s="157">
        <f t="shared" si="42"/>
        <v>6581.130000000001</v>
      </c>
      <c r="S65" s="157">
        <f t="shared" si="42"/>
        <v>7021.630000000001</v>
      </c>
      <c r="T65" s="157">
        <f t="shared" si="42"/>
        <v>7029.630000000001</v>
      </c>
      <c r="U65" s="157">
        <f t="shared" si="42"/>
        <v>7304.3300000000017</v>
      </c>
      <c r="V65" s="157">
        <f t="shared" si="42"/>
        <v>7928.43</v>
      </c>
      <c r="W65" s="157">
        <f t="shared" si="42"/>
        <v>9010.43</v>
      </c>
      <c r="X65" s="157">
        <f t="shared" si="42"/>
        <v>10087.879999999997</v>
      </c>
      <c r="Y65" s="157">
        <f t="shared" si="42"/>
        <v>11914.130000000005</v>
      </c>
      <c r="Z65" s="157">
        <f t="shared" si="42"/>
        <v>11925.130000000005</v>
      </c>
      <c r="AA65" s="157">
        <f t="shared" si="42"/>
        <v>11932.130000000005</v>
      </c>
      <c r="AB65" s="157">
        <f t="shared" si="42"/>
        <v>11943.130000000005</v>
      </c>
      <c r="AC65" s="157">
        <f t="shared" si="42"/>
        <v>11953.130000000005</v>
      </c>
      <c r="AD65" s="157">
        <f t="shared" si="42"/>
        <v>11964.130000000005</v>
      </c>
      <c r="AE65" s="157"/>
      <c r="AF65" s="157"/>
      <c r="AG65" s="157"/>
      <c r="AH65" s="157"/>
      <c r="AI65" s="157"/>
      <c r="AJ65" s="157"/>
      <c r="AK65" s="157"/>
      <c r="AL65" s="157"/>
    </row>
    <row r="66" spans="2:44" ht="15" customHeight="1">
      <c r="B66" s="158" t="s">
        <v>452</v>
      </c>
      <c r="C66" s="159" t="s">
        <v>94</v>
      </c>
      <c r="D66" s="159"/>
      <c r="E66" s="171">
        <f t="shared" ref="E66" si="43">IFERROR(E65/E$51,)</f>
        <v>1.0514617883398872E-2</v>
      </c>
      <c r="F66" s="171">
        <f t="shared" ref="F66:AD66" si="44">IFERROR(F65/F$51,)</f>
        <v>0.25149598221918279</v>
      </c>
      <c r="G66" s="171">
        <f t="shared" si="44"/>
        <v>0.23528689782141762</v>
      </c>
      <c r="H66" s="171">
        <f t="shared" si="44"/>
        <v>0.18098543468365955</v>
      </c>
      <c r="I66" s="171">
        <f t="shared" si="44"/>
        <v>0.22195000000000001</v>
      </c>
      <c r="J66" s="171">
        <f t="shared" si="44"/>
        <v>0.15379999999999999</v>
      </c>
      <c r="K66" s="171">
        <f t="shared" si="44"/>
        <v>0.20820035644713386</v>
      </c>
      <c r="L66" s="171">
        <f t="shared" si="44"/>
        <v>0.20825216562357518</v>
      </c>
      <c r="M66" s="171">
        <f t="shared" si="44"/>
        <v>0.20820035644713386</v>
      </c>
      <c r="N66" s="171">
        <f t="shared" si="44"/>
        <v>0.20820035644713386</v>
      </c>
      <c r="O66" s="171">
        <f t="shared" si="44"/>
        <v>0.24346383444573649</v>
      </c>
      <c r="P66" s="171">
        <f t="shared" si="44"/>
        <v>0.24346383444573649</v>
      </c>
      <c r="Q66" s="171">
        <f t="shared" si="44"/>
        <v>0.24495023476415448</v>
      </c>
      <c r="R66" s="171">
        <f t="shared" si="44"/>
        <v>0.24498746050813888</v>
      </c>
      <c r="S66" s="171">
        <f t="shared" si="44"/>
        <v>0.25715895069810507</v>
      </c>
      <c r="T66" s="171">
        <f t="shared" si="44"/>
        <v>0.25745194130079774</v>
      </c>
      <c r="U66" s="171">
        <f t="shared" si="44"/>
        <v>0.24702385884292952</v>
      </c>
      <c r="V66" s="171">
        <f t="shared" si="44"/>
        <v>0.26267491799308429</v>
      </c>
      <c r="W66" s="171">
        <f t="shared" si="44"/>
        <v>0.27933748403031583</v>
      </c>
      <c r="X66" s="171">
        <f t="shared" si="44"/>
        <v>0.30271316805941983</v>
      </c>
      <c r="Y66" s="171">
        <f t="shared" si="44"/>
        <v>0.32964659249468703</v>
      </c>
      <c r="Z66" s="171">
        <f t="shared" si="44"/>
        <v>0.32995094644394235</v>
      </c>
      <c r="AA66" s="171">
        <f t="shared" si="44"/>
        <v>0.33014462622983215</v>
      </c>
      <c r="AB66" s="171">
        <f t="shared" si="44"/>
        <v>0.33044898017908747</v>
      </c>
      <c r="AC66" s="171">
        <f t="shared" si="44"/>
        <v>0.33072566558750144</v>
      </c>
      <c r="AD66" s="171">
        <f t="shared" si="44"/>
        <v>0.33103001953675676</v>
      </c>
      <c r="AE66" s="171"/>
      <c r="AF66" s="171"/>
      <c r="AG66" s="171"/>
      <c r="AH66" s="171"/>
      <c r="AI66" s="171"/>
      <c r="AJ66" s="171"/>
      <c r="AK66" s="171"/>
      <c r="AL66" s="171"/>
    </row>
    <row r="67" spans="2:44" ht="15" customHeight="1">
      <c r="B67" s="150" t="s">
        <v>92</v>
      </c>
      <c r="C67" s="151" t="str">
        <f t="shared" si="29"/>
        <v>тыс. руб.</v>
      </c>
      <c r="D67" s="156">
        <f>SUM(J67:AL67)</f>
        <v>-37420</v>
      </c>
      <c r="E67" s="38">
        <v>-367</v>
      </c>
      <c r="F67" s="38">
        <v>-276</v>
      </c>
      <c r="G67" s="38">
        <v>-929</v>
      </c>
      <c r="H67" s="38">
        <v>-961</v>
      </c>
      <c r="I67" s="38">
        <v>-431</v>
      </c>
      <c r="J67" s="38">
        <v>-1120</v>
      </c>
      <c r="K67" s="38">
        <v>-1400</v>
      </c>
      <c r="L67" s="38">
        <v>-1500</v>
      </c>
      <c r="M67" s="38">
        <v>-1540</v>
      </c>
      <c r="N67" s="38">
        <v>-1540</v>
      </c>
      <c r="O67" s="38">
        <v>-1740</v>
      </c>
      <c r="P67" s="38">
        <v>-1740</v>
      </c>
      <c r="Q67" s="38">
        <v>-1740</v>
      </c>
      <c r="R67" s="38">
        <v>-1740</v>
      </c>
      <c r="S67" s="38">
        <v>-1740</v>
      </c>
      <c r="T67" s="38">
        <v>-1740</v>
      </c>
      <c r="U67" s="38">
        <v>-1740</v>
      </c>
      <c r="V67" s="38">
        <v>-1740</v>
      </c>
      <c r="W67" s="38">
        <v>-2050</v>
      </c>
      <c r="X67" s="38">
        <v>-2050</v>
      </c>
      <c r="Y67" s="38">
        <v>-2050</v>
      </c>
      <c r="Z67" s="38">
        <v>-2050</v>
      </c>
      <c r="AA67" s="38">
        <v>-2050</v>
      </c>
      <c r="AB67" s="38">
        <v>-2050</v>
      </c>
      <c r="AC67" s="38">
        <v>-2050</v>
      </c>
      <c r="AD67" s="38">
        <v>-2050</v>
      </c>
      <c r="AE67" s="38"/>
      <c r="AF67" s="38"/>
      <c r="AG67" s="38"/>
      <c r="AH67" s="38"/>
      <c r="AI67" s="38"/>
      <c r="AJ67" s="38"/>
      <c r="AK67" s="38"/>
      <c r="AL67" s="38"/>
    </row>
    <row r="68" spans="2:44" ht="15" customHeight="1">
      <c r="B68" s="169" t="s">
        <v>93</v>
      </c>
      <c r="C68" s="170" t="str">
        <f t="shared" si="29"/>
        <v>тыс. руб.</v>
      </c>
      <c r="D68" s="157">
        <f t="shared" ref="D68:E68" si="45">SUM(D65,D67)</f>
        <v>126227.03000000003</v>
      </c>
      <c r="E68" s="157">
        <f t="shared" si="45"/>
        <v>2</v>
      </c>
      <c r="F68" s="157">
        <f t="shared" ref="F68:AD68" si="46">SUM(F65,F67)</f>
        <v>8550</v>
      </c>
      <c r="G68" s="157">
        <f t="shared" si="46"/>
        <v>10573</v>
      </c>
      <c r="H68" s="157">
        <f t="shared" si="46"/>
        <v>5401</v>
      </c>
      <c r="I68" s="157">
        <f t="shared" si="46"/>
        <v>12886</v>
      </c>
      <c r="J68" s="157">
        <f t="shared" si="46"/>
        <v>1187</v>
      </c>
      <c r="K68" s="157">
        <f t="shared" si="46"/>
        <v>2618.5999999999985</v>
      </c>
      <c r="L68" s="157">
        <f t="shared" si="46"/>
        <v>2519.5999999999985</v>
      </c>
      <c r="M68" s="157">
        <f t="shared" si="46"/>
        <v>2478.5999999999985</v>
      </c>
      <c r="N68" s="157">
        <f t="shared" si="46"/>
        <v>2478.5999999999985</v>
      </c>
      <c r="O68" s="157">
        <f t="shared" si="46"/>
        <v>4304.630000000001</v>
      </c>
      <c r="P68" s="157">
        <f t="shared" si="46"/>
        <v>4304.630000000001</v>
      </c>
      <c r="Q68" s="157">
        <f t="shared" si="46"/>
        <v>4840.130000000001</v>
      </c>
      <c r="R68" s="157">
        <f t="shared" si="46"/>
        <v>4841.130000000001</v>
      </c>
      <c r="S68" s="157">
        <f t="shared" si="46"/>
        <v>5281.630000000001</v>
      </c>
      <c r="T68" s="157">
        <f t="shared" si="46"/>
        <v>5289.630000000001</v>
      </c>
      <c r="U68" s="157">
        <f t="shared" si="46"/>
        <v>5564.3300000000017</v>
      </c>
      <c r="V68" s="157">
        <f t="shared" si="46"/>
        <v>6188.43</v>
      </c>
      <c r="W68" s="157">
        <f t="shared" si="46"/>
        <v>6960.43</v>
      </c>
      <c r="X68" s="157">
        <f t="shared" si="46"/>
        <v>8037.8799999999974</v>
      </c>
      <c r="Y68" s="157">
        <f t="shared" si="46"/>
        <v>9864.1300000000047</v>
      </c>
      <c r="Z68" s="157">
        <f t="shared" si="46"/>
        <v>9875.1300000000047</v>
      </c>
      <c r="AA68" s="157">
        <f t="shared" si="46"/>
        <v>9882.1300000000047</v>
      </c>
      <c r="AB68" s="157">
        <f t="shared" si="46"/>
        <v>9893.1300000000047</v>
      </c>
      <c r="AC68" s="157">
        <f t="shared" si="46"/>
        <v>9903.1300000000047</v>
      </c>
      <c r="AD68" s="157">
        <f t="shared" si="46"/>
        <v>9914.1300000000047</v>
      </c>
      <c r="AE68" s="157"/>
      <c r="AF68" s="157"/>
      <c r="AG68" s="157"/>
      <c r="AH68" s="157"/>
      <c r="AI68" s="157"/>
      <c r="AJ68" s="157"/>
      <c r="AK68" s="157"/>
      <c r="AL68" s="157"/>
    </row>
    <row r="69" spans="2:44" ht="15" customHeight="1">
      <c r="B69" s="158" t="s">
        <v>452</v>
      </c>
      <c r="C69" s="159" t="s">
        <v>94</v>
      </c>
      <c r="D69" s="159"/>
      <c r="E69" s="171">
        <f t="shared" ref="E69" si="47">IFERROR(E68/E$51,)</f>
        <v>5.6989798826010147E-5</v>
      </c>
      <c r="F69" s="171">
        <f t="shared" ref="F69:AD69" si="48">IFERROR(F68/F$51,)</f>
        <v>0.24363138998119335</v>
      </c>
      <c r="G69" s="171">
        <f t="shared" si="48"/>
        <v>0.21628311342947734</v>
      </c>
      <c r="H69" s="171">
        <f t="shared" si="48"/>
        <v>0.15364701866181157</v>
      </c>
      <c r="I69" s="171">
        <f t="shared" si="48"/>
        <v>0.21476666666666666</v>
      </c>
      <c r="J69" s="171">
        <f t="shared" si="48"/>
        <v>7.9133333333333333E-2</v>
      </c>
      <c r="K69" s="171">
        <f t="shared" si="48"/>
        <v>0.13566750942927006</v>
      </c>
      <c r="L69" s="171">
        <f t="shared" si="48"/>
        <v>0.13053840096157826</v>
      </c>
      <c r="M69" s="171">
        <f t="shared" si="48"/>
        <v>0.12841422472748368</v>
      </c>
      <c r="N69" s="171">
        <f t="shared" si="48"/>
        <v>0.12841422472748368</v>
      </c>
      <c r="O69" s="171">
        <f t="shared" si="48"/>
        <v>0.17338062473139806</v>
      </c>
      <c r="P69" s="171">
        <f t="shared" si="48"/>
        <v>0.17338062473139806</v>
      </c>
      <c r="Q69" s="171">
        <f t="shared" si="48"/>
        <v>0.18017744023127613</v>
      </c>
      <c r="R69" s="171">
        <f t="shared" si="48"/>
        <v>0.18021466597526054</v>
      </c>
      <c r="S69" s="171">
        <f t="shared" si="48"/>
        <v>0.19343349461245221</v>
      </c>
      <c r="T69" s="171">
        <f t="shared" si="48"/>
        <v>0.19372648521514485</v>
      </c>
      <c r="U69" s="171">
        <f t="shared" si="48"/>
        <v>0.18817910314504932</v>
      </c>
      <c r="V69" s="171">
        <f t="shared" si="48"/>
        <v>0.20502739416958246</v>
      </c>
      <c r="W69" s="171">
        <f t="shared" si="48"/>
        <v>0.21578426378864618</v>
      </c>
      <c r="X69" s="171">
        <f t="shared" si="48"/>
        <v>0.24119756770316947</v>
      </c>
      <c r="Y69" s="171">
        <f t="shared" si="48"/>
        <v>0.27292608376982774</v>
      </c>
      <c r="Z69" s="171">
        <f t="shared" si="48"/>
        <v>0.27323043771908306</v>
      </c>
      <c r="AA69" s="171">
        <f t="shared" si="48"/>
        <v>0.27342411750497281</v>
      </c>
      <c r="AB69" s="171">
        <f t="shared" si="48"/>
        <v>0.27372847145422818</v>
      </c>
      <c r="AC69" s="171">
        <f t="shared" si="48"/>
        <v>0.2740051568626421</v>
      </c>
      <c r="AD69" s="171">
        <f t="shared" si="48"/>
        <v>0.27430951081189747</v>
      </c>
      <c r="AE69" s="171"/>
      <c r="AF69" s="171"/>
      <c r="AG69" s="171"/>
      <c r="AH69" s="171"/>
      <c r="AI69" s="171"/>
      <c r="AJ69" s="171"/>
      <c r="AK69" s="171"/>
      <c r="AL69" s="171"/>
    </row>
    <row r="70" spans="2:44" ht="15" customHeight="1">
      <c r="B70" s="169" t="s">
        <v>109</v>
      </c>
      <c r="C70" s="170" t="str">
        <f t="shared" ref="C70:C72" si="49">Единица_измерения</f>
        <v>тыс. руб.</v>
      </c>
      <c r="D70" s="157">
        <f t="shared" ref="D70:E70" si="50">SUM(D65,-D61,-D62)</f>
        <v>165314.03000000003</v>
      </c>
      <c r="E70" s="157">
        <f t="shared" si="50"/>
        <v>369</v>
      </c>
      <c r="F70" s="157">
        <f t="shared" ref="F70:J70" si="51">SUM(F65,-F61,-F62)</f>
        <v>8826</v>
      </c>
      <c r="G70" s="157">
        <f t="shared" si="51"/>
        <v>11502</v>
      </c>
      <c r="H70" s="157">
        <f t="shared" si="51"/>
        <v>6362</v>
      </c>
      <c r="I70" s="157">
        <f t="shared" si="51"/>
        <v>13317</v>
      </c>
      <c r="J70" s="157">
        <f t="shared" si="51"/>
        <v>2330</v>
      </c>
      <c r="K70" s="157">
        <f t="shared" ref="K70:AD70" si="52">SUM(K65,-K61,-K62)</f>
        <v>4131.5999999999985</v>
      </c>
      <c r="L70" s="157">
        <f t="shared" si="52"/>
        <v>4131.5999999999985</v>
      </c>
      <c r="M70" s="157">
        <f t="shared" si="52"/>
        <v>4131.5999999999985</v>
      </c>
      <c r="N70" s="157">
        <f t="shared" si="52"/>
        <v>4131.5999999999985</v>
      </c>
      <c r="O70" s="157">
        <f t="shared" si="52"/>
        <v>6157.630000000001</v>
      </c>
      <c r="P70" s="157">
        <f t="shared" si="52"/>
        <v>6157.630000000001</v>
      </c>
      <c r="Q70" s="157">
        <f t="shared" si="52"/>
        <v>6693.130000000001</v>
      </c>
      <c r="R70" s="157">
        <f t="shared" si="52"/>
        <v>6693.130000000001</v>
      </c>
      <c r="S70" s="157">
        <f t="shared" si="52"/>
        <v>7134.630000000001</v>
      </c>
      <c r="T70" s="157">
        <f t="shared" si="52"/>
        <v>7134.630000000001</v>
      </c>
      <c r="U70" s="157">
        <f t="shared" si="52"/>
        <v>7399.3300000000017</v>
      </c>
      <c r="V70" s="157">
        <f t="shared" si="52"/>
        <v>8013.43</v>
      </c>
      <c r="W70" s="157">
        <f t="shared" si="52"/>
        <v>9086.43</v>
      </c>
      <c r="X70" s="157">
        <f t="shared" si="52"/>
        <v>10154.879999999997</v>
      </c>
      <c r="Y70" s="157">
        <f t="shared" si="52"/>
        <v>11972.130000000005</v>
      </c>
      <c r="Z70" s="157">
        <f t="shared" si="52"/>
        <v>11972.130000000005</v>
      </c>
      <c r="AA70" s="157">
        <f t="shared" si="52"/>
        <v>11972.130000000005</v>
      </c>
      <c r="AB70" s="157">
        <f t="shared" si="52"/>
        <v>11972.130000000005</v>
      </c>
      <c r="AC70" s="157">
        <f t="shared" si="52"/>
        <v>11972.130000000005</v>
      </c>
      <c r="AD70" s="157">
        <f t="shared" si="52"/>
        <v>11972.130000000005</v>
      </c>
      <c r="AE70" s="157"/>
      <c r="AF70" s="157"/>
      <c r="AG70" s="157"/>
      <c r="AH70" s="157"/>
      <c r="AI70" s="157"/>
      <c r="AJ70" s="157"/>
      <c r="AK70" s="157"/>
      <c r="AL70" s="157"/>
    </row>
    <row r="71" spans="2:44" ht="15" customHeight="1">
      <c r="B71" s="158" t="s">
        <v>452</v>
      </c>
      <c r="C71" s="159" t="s">
        <v>94</v>
      </c>
      <c r="D71" s="159"/>
      <c r="E71" s="171">
        <f t="shared" ref="E71" si="53">IFERROR(E70/E$51,)</f>
        <v>1.0514617883398872E-2</v>
      </c>
      <c r="F71" s="171">
        <f t="shared" ref="F71:AD71" si="54">IFERROR(F70/F$51,)</f>
        <v>0.25149598221918279</v>
      </c>
      <c r="G71" s="171">
        <f t="shared" si="54"/>
        <v>0.23528689782141762</v>
      </c>
      <c r="H71" s="171">
        <f t="shared" si="54"/>
        <v>0.18098543468365955</v>
      </c>
      <c r="I71" s="171">
        <f t="shared" si="54"/>
        <v>0.22195000000000001</v>
      </c>
      <c r="J71" s="171">
        <f t="shared" si="54"/>
        <v>0.15533333333333332</v>
      </c>
      <c r="K71" s="171">
        <f t="shared" si="54"/>
        <v>0.2140547933850043</v>
      </c>
      <c r="L71" s="171">
        <f t="shared" si="54"/>
        <v>0.2140547933850043</v>
      </c>
      <c r="M71" s="171">
        <f t="shared" si="54"/>
        <v>0.2140547933850043</v>
      </c>
      <c r="N71" s="171">
        <f t="shared" si="54"/>
        <v>0.2140547933850043</v>
      </c>
      <c r="O71" s="171">
        <f t="shared" si="54"/>
        <v>0.24801521530649526</v>
      </c>
      <c r="P71" s="171">
        <f t="shared" si="54"/>
        <v>0.24801521530649526</v>
      </c>
      <c r="Q71" s="171">
        <f t="shared" si="54"/>
        <v>0.24915674383439312</v>
      </c>
      <c r="R71" s="171">
        <f t="shared" si="54"/>
        <v>0.24915674383439312</v>
      </c>
      <c r="S71" s="171">
        <f t="shared" si="54"/>
        <v>0.26129744296113883</v>
      </c>
      <c r="T71" s="171">
        <f t="shared" si="54"/>
        <v>0.26129744296113883</v>
      </c>
      <c r="U71" s="171">
        <f t="shared" si="54"/>
        <v>0.25023664722873334</v>
      </c>
      <c r="V71" s="171">
        <f t="shared" si="54"/>
        <v>0.26549103266262319</v>
      </c>
      <c r="W71" s="171">
        <f t="shared" si="54"/>
        <v>0.28169360341488503</v>
      </c>
      <c r="X71" s="171">
        <f t="shared" si="54"/>
        <v>0.30472367792472166</v>
      </c>
      <c r="Y71" s="171">
        <f t="shared" si="54"/>
        <v>0.33125136786348791</v>
      </c>
      <c r="Z71" s="171">
        <f t="shared" si="54"/>
        <v>0.33125136786348791</v>
      </c>
      <c r="AA71" s="171">
        <f t="shared" si="54"/>
        <v>0.33125136786348791</v>
      </c>
      <c r="AB71" s="171">
        <f t="shared" si="54"/>
        <v>0.33125136786348791</v>
      </c>
      <c r="AC71" s="171">
        <f t="shared" si="54"/>
        <v>0.33125136786348791</v>
      </c>
      <c r="AD71" s="171">
        <f t="shared" si="54"/>
        <v>0.33125136786348791</v>
      </c>
      <c r="AE71" s="171"/>
      <c r="AF71" s="171"/>
      <c r="AG71" s="171"/>
      <c r="AH71" s="171"/>
      <c r="AI71" s="171"/>
      <c r="AJ71" s="171"/>
      <c r="AK71" s="171"/>
      <c r="AL71" s="171"/>
    </row>
    <row r="72" spans="2:44" ht="15" customHeight="1">
      <c r="B72" s="169" t="s">
        <v>108</v>
      </c>
      <c r="C72" s="170" t="str">
        <f t="shared" si="49"/>
        <v>тыс. руб.</v>
      </c>
      <c r="D72" s="172">
        <f t="shared" ref="D72:E72" si="55">SUM(D70,-D76)</f>
        <v>191248.03000000003</v>
      </c>
      <c r="E72" s="157">
        <f t="shared" si="55"/>
        <v>369</v>
      </c>
      <c r="F72" s="157">
        <f t="shared" ref="F72:AD72" si="56">SUM(F70,-F76)</f>
        <v>8826</v>
      </c>
      <c r="G72" s="157">
        <f>SUM(G70,-G76)</f>
        <v>11911</v>
      </c>
      <c r="H72" s="157">
        <f t="shared" si="56"/>
        <v>6736</v>
      </c>
      <c r="I72" s="157">
        <f t="shared" si="56"/>
        <v>13691</v>
      </c>
      <c r="J72" s="157">
        <f t="shared" si="56"/>
        <v>2704</v>
      </c>
      <c r="K72" s="157">
        <f t="shared" si="56"/>
        <v>4505.5999999999985</v>
      </c>
      <c r="L72" s="157">
        <f t="shared" si="56"/>
        <v>4505.5999999999985</v>
      </c>
      <c r="M72" s="157">
        <f t="shared" si="56"/>
        <v>4505.5999999999985</v>
      </c>
      <c r="N72" s="157">
        <f t="shared" si="56"/>
        <v>4505.5999999999985</v>
      </c>
      <c r="O72" s="157">
        <f t="shared" si="56"/>
        <v>7661.630000000001</v>
      </c>
      <c r="P72" s="157">
        <f t="shared" si="56"/>
        <v>7661.630000000001</v>
      </c>
      <c r="Q72" s="157">
        <f t="shared" si="56"/>
        <v>8197.130000000001</v>
      </c>
      <c r="R72" s="157">
        <f t="shared" si="56"/>
        <v>8197.130000000001</v>
      </c>
      <c r="S72" s="157">
        <f t="shared" si="56"/>
        <v>8638.630000000001</v>
      </c>
      <c r="T72" s="157">
        <f t="shared" si="56"/>
        <v>8638.630000000001</v>
      </c>
      <c r="U72" s="157">
        <f t="shared" si="56"/>
        <v>8903.3300000000017</v>
      </c>
      <c r="V72" s="157">
        <f t="shared" si="56"/>
        <v>9517.43</v>
      </c>
      <c r="W72" s="157">
        <f t="shared" si="56"/>
        <v>10590.43</v>
      </c>
      <c r="X72" s="157">
        <f t="shared" si="56"/>
        <v>11658.879999999997</v>
      </c>
      <c r="Y72" s="157">
        <f t="shared" si="56"/>
        <v>13476.130000000005</v>
      </c>
      <c r="Z72" s="157">
        <f t="shared" si="56"/>
        <v>13476.130000000005</v>
      </c>
      <c r="AA72" s="157">
        <f t="shared" si="56"/>
        <v>13476.130000000005</v>
      </c>
      <c r="AB72" s="157">
        <f t="shared" si="56"/>
        <v>13476.130000000005</v>
      </c>
      <c r="AC72" s="157">
        <f t="shared" si="56"/>
        <v>13476.130000000005</v>
      </c>
      <c r="AD72" s="157">
        <f t="shared" si="56"/>
        <v>13476.130000000005</v>
      </c>
      <c r="AE72" s="157"/>
      <c r="AF72" s="157"/>
      <c r="AG72" s="157"/>
      <c r="AH72" s="157"/>
      <c r="AI72" s="157"/>
      <c r="AJ72" s="157"/>
      <c r="AK72" s="157"/>
      <c r="AL72" s="157"/>
    </row>
    <row r="73" spans="2:44" ht="15" customHeight="1">
      <c r="B73" s="158" t="s">
        <v>452</v>
      </c>
      <c r="C73" s="159" t="s">
        <v>94</v>
      </c>
      <c r="D73" s="159"/>
      <c r="E73" s="171">
        <f t="shared" ref="E73" si="57">IFERROR(E72/E$51,)</f>
        <v>1.0514617883398872E-2</v>
      </c>
      <c r="F73" s="171">
        <f t="shared" ref="F73:AD73" si="58">IFERROR(F72/F$51,)</f>
        <v>0.25149598221918279</v>
      </c>
      <c r="G73" s="171">
        <f t="shared" si="58"/>
        <v>0.24365347243530736</v>
      </c>
      <c r="H73" s="171">
        <f t="shared" si="58"/>
        <v>0.19162494310423306</v>
      </c>
      <c r="I73" s="171">
        <f t="shared" si="58"/>
        <v>0.22818333333333332</v>
      </c>
      <c r="J73" s="171">
        <f t="shared" si="58"/>
        <v>0.18026666666666666</v>
      </c>
      <c r="K73" s="171">
        <f t="shared" si="58"/>
        <v>0.2334314253740622</v>
      </c>
      <c r="L73" s="171">
        <f t="shared" si="58"/>
        <v>0.2334314253740622</v>
      </c>
      <c r="M73" s="171">
        <f t="shared" si="58"/>
        <v>0.2334314253740622</v>
      </c>
      <c r="N73" s="171">
        <f t="shared" si="58"/>
        <v>0.2334314253740622</v>
      </c>
      <c r="O73" s="171">
        <f t="shared" si="58"/>
        <v>0.30859288623199238</v>
      </c>
      <c r="P73" s="171">
        <f t="shared" si="58"/>
        <v>0.30859288623199238</v>
      </c>
      <c r="Q73" s="171">
        <f t="shared" si="58"/>
        <v>0.30514426278695</v>
      </c>
      <c r="R73" s="171">
        <f t="shared" si="58"/>
        <v>0.30514426278695</v>
      </c>
      <c r="S73" s="171">
        <f t="shared" si="58"/>
        <v>0.31637967626735836</v>
      </c>
      <c r="T73" s="171">
        <f t="shared" si="58"/>
        <v>0.31637967626735836</v>
      </c>
      <c r="U73" s="171">
        <f t="shared" si="58"/>
        <v>0.30110016019977459</v>
      </c>
      <c r="V73" s="171">
        <f t="shared" si="58"/>
        <v>0.31531969693305234</v>
      </c>
      <c r="W73" s="171">
        <f t="shared" si="58"/>
        <v>0.32831996597267582</v>
      </c>
      <c r="X73" s="171">
        <f t="shared" si="58"/>
        <v>0.34985512325925849</v>
      </c>
      <c r="Y73" s="171">
        <f t="shared" si="58"/>
        <v>0.3728648532889457</v>
      </c>
      <c r="Z73" s="171">
        <f t="shared" si="58"/>
        <v>0.3728648532889457</v>
      </c>
      <c r="AA73" s="171">
        <f t="shared" si="58"/>
        <v>0.3728648532889457</v>
      </c>
      <c r="AB73" s="171">
        <f t="shared" si="58"/>
        <v>0.3728648532889457</v>
      </c>
      <c r="AC73" s="171">
        <f t="shared" si="58"/>
        <v>0.3728648532889457</v>
      </c>
      <c r="AD73" s="171">
        <f t="shared" si="58"/>
        <v>0.3728648532889457</v>
      </c>
      <c r="AE73" s="171"/>
      <c r="AF73" s="171"/>
      <c r="AG73" s="171"/>
      <c r="AH73" s="171"/>
      <c r="AI73" s="171"/>
      <c r="AJ73" s="171"/>
      <c r="AK73" s="171"/>
      <c r="AL73" s="171"/>
    </row>
    <row r="74" spans="2:44" ht="15" customHeight="1"/>
    <row r="75" spans="2:44" ht="21">
      <c r="B75" s="166" t="s">
        <v>180</v>
      </c>
      <c r="D75" s="52"/>
      <c r="E75" s="53"/>
      <c r="F75" s="53"/>
      <c r="G75" s="53"/>
      <c r="H75" s="53"/>
      <c r="I75" s="53"/>
      <c r="J75" s="53"/>
      <c r="K75" s="53"/>
      <c r="L75" s="53"/>
      <c r="M75" s="53"/>
      <c r="N75" s="53"/>
      <c r="O75" s="53"/>
      <c r="P75" s="53"/>
      <c r="Q75" s="53"/>
      <c r="R75" s="53"/>
      <c r="S75" s="53"/>
      <c r="T75" s="53"/>
      <c r="U75" s="53"/>
      <c r="V75" s="53"/>
      <c r="W75" s="53"/>
      <c r="X75" s="53"/>
      <c r="Y75" s="53"/>
      <c r="Z75" s="53"/>
      <c r="AA75" s="53"/>
      <c r="AB75" s="53"/>
      <c r="AC75" s="53"/>
      <c r="AD75" s="53"/>
      <c r="AE75" s="53"/>
      <c r="AF75" s="53"/>
      <c r="AG75" s="53"/>
      <c r="AH75" s="53"/>
      <c r="AI75" s="53"/>
      <c r="AJ75" s="53"/>
      <c r="AK75" s="53"/>
      <c r="AL75" s="53"/>
      <c r="AM75" s="53"/>
      <c r="AN75" s="53"/>
      <c r="AO75" s="53"/>
      <c r="AP75" s="53"/>
      <c r="AQ75" s="53"/>
      <c r="AR75" s="53"/>
    </row>
    <row r="76" spans="2:44" ht="15" customHeight="1">
      <c r="B76" s="173" t="s">
        <v>453</v>
      </c>
      <c r="C76" s="151" t="str">
        <f>Единица_измерения</f>
        <v>тыс. руб.</v>
      </c>
      <c r="D76" s="156">
        <f>SUM(J76:AL76)</f>
        <v>-25934</v>
      </c>
      <c r="E76" s="28"/>
      <c r="F76" s="28"/>
      <c r="G76" s="28">
        <v>-409</v>
      </c>
      <c r="H76" s="28">
        <v>-374</v>
      </c>
      <c r="I76" s="28">
        <v>-374</v>
      </c>
      <c r="J76" s="28">
        <v>-374</v>
      </c>
      <c r="K76" s="28">
        <v>-374</v>
      </c>
      <c r="L76" s="28">
        <v>-374</v>
      </c>
      <c r="M76" s="28">
        <v>-374</v>
      </c>
      <c r="N76" s="28">
        <v>-374</v>
      </c>
      <c r="O76" s="28">
        <f>-374-1130</f>
        <v>-1504</v>
      </c>
      <c r="P76" s="28">
        <f t="shared" ref="P76:AD76" si="59">-374-1130</f>
        <v>-1504</v>
      </c>
      <c r="Q76" s="28">
        <f t="shared" si="59"/>
        <v>-1504</v>
      </c>
      <c r="R76" s="28">
        <f t="shared" si="59"/>
        <v>-1504</v>
      </c>
      <c r="S76" s="28">
        <f t="shared" si="59"/>
        <v>-1504</v>
      </c>
      <c r="T76" s="28">
        <f t="shared" si="59"/>
        <v>-1504</v>
      </c>
      <c r="U76" s="28">
        <f t="shared" si="59"/>
        <v>-1504</v>
      </c>
      <c r="V76" s="28">
        <f t="shared" si="59"/>
        <v>-1504</v>
      </c>
      <c r="W76" s="28">
        <f t="shared" si="59"/>
        <v>-1504</v>
      </c>
      <c r="X76" s="28">
        <f t="shared" si="59"/>
        <v>-1504</v>
      </c>
      <c r="Y76" s="28">
        <f t="shared" si="59"/>
        <v>-1504</v>
      </c>
      <c r="Z76" s="28">
        <f t="shared" si="59"/>
        <v>-1504</v>
      </c>
      <c r="AA76" s="28">
        <f t="shared" si="59"/>
        <v>-1504</v>
      </c>
      <c r="AB76" s="28">
        <f t="shared" si="59"/>
        <v>-1504</v>
      </c>
      <c r="AC76" s="28">
        <f t="shared" si="59"/>
        <v>-1504</v>
      </c>
      <c r="AD76" s="28">
        <f t="shared" si="59"/>
        <v>-1504</v>
      </c>
      <c r="AE76" s="28"/>
      <c r="AF76" s="28"/>
      <c r="AG76" s="28"/>
      <c r="AH76" s="28"/>
      <c r="AI76" s="28"/>
      <c r="AJ76" s="28"/>
      <c r="AK76" s="28"/>
      <c r="AL76" s="28"/>
    </row>
    <row r="77" spans="2:44" ht="15" customHeight="1"/>
    <row r="78" spans="2:44" ht="21">
      <c r="B78" s="52" t="s">
        <v>95</v>
      </c>
      <c r="D78" s="52"/>
      <c r="E78" s="53"/>
      <c r="F78" s="53"/>
      <c r="G78" s="53"/>
      <c r="H78" s="53"/>
      <c r="I78" s="53"/>
      <c r="J78" s="53"/>
      <c r="K78" s="53"/>
      <c r="L78" s="53"/>
      <c r="M78" s="53"/>
      <c r="N78" s="53"/>
      <c r="O78" s="53"/>
      <c r="P78" s="53"/>
      <c r="Q78" s="53"/>
      <c r="R78" s="53"/>
      <c r="S78" s="53"/>
      <c r="T78" s="53"/>
      <c r="U78" s="53"/>
      <c r="V78" s="53"/>
      <c r="W78" s="53"/>
      <c r="X78" s="53"/>
      <c r="Y78" s="53"/>
      <c r="Z78" s="53"/>
      <c r="AA78" s="53"/>
      <c r="AB78" s="53"/>
      <c r="AC78" s="53"/>
      <c r="AD78" s="53"/>
      <c r="AE78" s="53"/>
      <c r="AF78" s="53"/>
      <c r="AG78" s="53"/>
      <c r="AH78" s="53"/>
      <c r="AI78" s="53"/>
      <c r="AJ78" s="53"/>
      <c r="AK78" s="53"/>
      <c r="AL78" s="53"/>
      <c r="AM78" s="53"/>
      <c r="AN78" s="53"/>
      <c r="AO78" s="53"/>
      <c r="AP78" s="53"/>
      <c r="AQ78" s="53"/>
      <c r="AR78" s="53"/>
    </row>
    <row r="79" spans="2:44" ht="21">
      <c r="B79" s="166" t="s">
        <v>96</v>
      </c>
      <c r="D79" s="52"/>
      <c r="E79" s="53"/>
      <c r="F79" s="53"/>
      <c r="G79" s="53"/>
      <c r="H79" s="53"/>
      <c r="I79" s="53"/>
      <c r="J79" s="53"/>
      <c r="K79" s="53"/>
      <c r="L79" s="53"/>
      <c r="M79" s="53"/>
      <c r="N79" s="53"/>
      <c r="O79" s="53"/>
      <c r="P79" s="53"/>
      <c r="Q79" s="53"/>
      <c r="R79" s="53"/>
      <c r="S79" s="53"/>
      <c r="T79" s="53"/>
      <c r="U79" s="53"/>
      <c r="V79" s="53"/>
      <c r="W79" s="53"/>
      <c r="X79" s="53"/>
      <c r="Y79" s="53"/>
      <c r="Z79" s="53"/>
      <c r="AA79" s="53"/>
      <c r="AB79" s="53"/>
      <c r="AC79" s="53"/>
      <c r="AD79" s="53"/>
      <c r="AE79" s="53"/>
      <c r="AF79" s="53"/>
      <c r="AG79" s="53"/>
      <c r="AH79" s="53"/>
      <c r="AI79" s="53"/>
      <c r="AJ79" s="53"/>
      <c r="AK79" s="53"/>
      <c r="AL79" s="53"/>
      <c r="AM79" s="53"/>
      <c r="AN79" s="53"/>
      <c r="AO79" s="53"/>
      <c r="AP79" s="53"/>
      <c r="AQ79" s="53"/>
      <c r="AR79" s="53"/>
    </row>
    <row r="80" spans="2:44">
      <c r="B80" s="39" t="s">
        <v>153</v>
      </c>
      <c r="C80" s="174"/>
      <c r="D80" s="174"/>
      <c r="E80" s="53"/>
      <c r="F80" s="53"/>
      <c r="G80" s="53"/>
      <c r="H80" s="53"/>
      <c r="I80" s="53"/>
      <c r="J80" s="53"/>
      <c r="K80" s="53"/>
      <c r="L80" s="53"/>
      <c r="M80" s="53"/>
      <c r="N80" s="53"/>
      <c r="O80" s="53"/>
      <c r="P80" s="53"/>
      <c r="Q80" s="53"/>
      <c r="R80" s="53"/>
      <c r="S80" s="53"/>
      <c r="T80" s="53"/>
      <c r="U80" s="53"/>
      <c r="V80" s="53"/>
      <c r="W80" s="53"/>
      <c r="X80" s="53"/>
      <c r="Y80" s="53"/>
      <c r="Z80" s="53"/>
      <c r="AA80" s="53"/>
      <c r="AB80" s="53"/>
      <c r="AC80" s="53"/>
      <c r="AD80" s="53"/>
      <c r="AE80" s="53"/>
      <c r="AF80" s="53"/>
      <c r="AG80" s="53"/>
      <c r="AH80" s="53"/>
      <c r="AI80" s="53"/>
      <c r="AJ80" s="53"/>
      <c r="AK80" s="53"/>
      <c r="AL80" s="53"/>
      <c r="AM80" s="53"/>
      <c r="AN80" s="53"/>
      <c r="AO80" s="53"/>
      <c r="AP80" s="53"/>
    </row>
    <row r="81" spans="2:42" ht="15" customHeight="1">
      <c r="B81" s="175" t="s">
        <v>454</v>
      </c>
      <c r="C81" s="151" t="s">
        <v>10</v>
      </c>
      <c r="D81" s="156">
        <f>SUM(J81:AL81)</f>
        <v>217384.03000000003</v>
      </c>
      <c r="E81" s="28"/>
      <c r="F81" s="28"/>
      <c r="G81" s="28"/>
      <c r="H81" s="28"/>
      <c r="I81" s="28"/>
      <c r="J81" s="28">
        <f>J16</f>
        <v>0</v>
      </c>
      <c r="K81" s="28">
        <f t="shared" ref="K81:AD81" si="60">K16</f>
        <v>1301.5999999999999</v>
      </c>
      <c r="L81" s="28">
        <f t="shared" si="60"/>
        <v>1301.5999999999999</v>
      </c>
      <c r="M81" s="28">
        <f t="shared" si="60"/>
        <v>1301.5999999999999</v>
      </c>
      <c r="N81" s="28">
        <f t="shared" si="60"/>
        <v>1301.5999999999999</v>
      </c>
      <c r="O81" s="28">
        <f t="shared" si="60"/>
        <v>6827.63</v>
      </c>
      <c r="P81" s="28">
        <f t="shared" si="60"/>
        <v>6827.63</v>
      </c>
      <c r="Q81" s="28">
        <f t="shared" si="60"/>
        <v>8863.130000000001</v>
      </c>
      <c r="R81" s="28">
        <f t="shared" si="60"/>
        <v>8863.130000000001</v>
      </c>
      <c r="S81" s="28">
        <f t="shared" si="60"/>
        <v>9304.630000000001</v>
      </c>
      <c r="T81" s="28">
        <f t="shared" si="60"/>
        <v>9304.630000000001</v>
      </c>
      <c r="U81" s="28">
        <f t="shared" si="60"/>
        <v>11569.330000000002</v>
      </c>
      <c r="V81" s="28">
        <f t="shared" si="60"/>
        <v>12183.43</v>
      </c>
      <c r="W81" s="28">
        <f t="shared" si="60"/>
        <v>14256.430000000002</v>
      </c>
      <c r="X81" s="28">
        <f t="shared" si="60"/>
        <v>15324.88</v>
      </c>
      <c r="Y81" s="28">
        <f t="shared" si="60"/>
        <v>18142.13</v>
      </c>
      <c r="Z81" s="28">
        <f t="shared" si="60"/>
        <v>18142.13</v>
      </c>
      <c r="AA81" s="28">
        <f t="shared" si="60"/>
        <v>18142.13</v>
      </c>
      <c r="AB81" s="28">
        <f t="shared" si="60"/>
        <v>18142.13</v>
      </c>
      <c r="AC81" s="28">
        <f t="shared" si="60"/>
        <v>18142.13</v>
      </c>
      <c r="AD81" s="28">
        <f t="shared" si="60"/>
        <v>18142.13</v>
      </c>
      <c r="AE81" s="28"/>
      <c r="AF81" s="28"/>
      <c r="AG81" s="28"/>
      <c r="AH81" s="28"/>
      <c r="AI81" s="28"/>
      <c r="AJ81" s="28"/>
      <c r="AK81" s="28"/>
      <c r="AL81" s="28"/>
    </row>
    <row r="82" spans="2:42" ht="15" customHeight="1">
      <c r="B82" s="150" t="s">
        <v>455</v>
      </c>
      <c r="C82" s="151" t="s">
        <v>10</v>
      </c>
      <c r="D82" s="156">
        <f>SUM(J82:AL82)</f>
        <v>435000</v>
      </c>
      <c r="E82" s="28">
        <f>1040+36328+100</f>
        <v>37468</v>
      </c>
      <c r="F82" s="28">
        <f>165+27368+1881+15</f>
        <v>29429</v>
      </c>
      <c r="G82" s="28">
        <f>48435</f>
        <v>48435</v>
      </c>
      <c r="H82" s="28">
        <v>35270</v>
      </c>
      <c r="I82" s="28">
        <v>50137</v>
      </c>
      <c r="J82" s="28">
        <v>15000</v>
      </c>
      <c r="K82" s="28">
        <v>21000</v>
      </c>
      <c r="L82" s="28">
        <v>21000</v>
      </c>
      <c r="M82" s="28">
        <v>21000</v>
      </c>
      <c r="N82" s="28">
        <v>21000</v>
      </c>
      <c r="O82" s="28">
        <v>21000</v>
      </c>
      <c r="P82" s="28">
        <v>21000</v>
      </c>
      <c r="Q82" s="28">
        <v>21000</v>
      </c>
      <c r="R82" s="28">
        <v>21000</v>
      </c>
      <c r="S82" s="28">
        <v>21000</v>
      </c>
      <c r="T82" s="28">
        <v>21000</v>
      </c>
      <c r="U82" s="28">
        <v>21000</v>
      </c>
      <c r="V82" s="28">
        <v>21000</v>
      </c>
      <c r="W82" s="28">
        <v>21000</v>
      </c>
      <c r="X82" s="28">
        <v>21000</v>
      </c>
      <c r="Y82" s="28">
        <v>21000</v>
      </c>
      <c r="Z82" s="28">
        <v>21000</v>
      </c>
      <c r="AA82" s="28">
        <v>21000</v>
      </c>
      <c r="AB82" s="28">
        <v>21000</v>
      </c>
      <c r="AC82" s="28">
        <v>21000</v>
      </c>
      <c r="AD82" s="28">
        <v>21000</v>
      </c>
      <c r="AE82" s="28"/>
      <c r="AF82" s="28"/>
      <c r="AG82" s="28"/>
      <c r="AH82" s="28"/>
      <c r="AI82" s="28"/>
      <c r="AJ82" s="28"/>
      <c r="AK82" s="28"/>
      <c r="AL82" s="28"/>
    </row>
    <row r="83" spans="2:42" ht="15" customHeight="1">
      <c r="B83" s="169" t="s">
        <v>11</v>
      </c>
      <c r="C83" s="170" t="s">
        <v>10</v>
      </c>
      <c r="D83" s="172">
        <f>SUM(D81,D82)</f>
        <v>652384.03</v>
      </c>
      <c r="E83" s="157">
        <f t="shared" ref="E83" si="61">SUM(E81,E82)</f>
        <v>37468</v>
      </c>
      <c r="F83" s="157">
        <f t="shared" ref="F83:AD83" si="62">SUM(F81,F82)</f>
        <v>29429</v>
      </c>
      <c r="G83" s="157">
        <f t="shared" si="62"/>
        <v>48435</v>
      </c>
      <c r="H83" s="157">
        <f t="shared" si="62"/>
        <v>35270</v>
      </c>
      <c r="I83" s="157">
        <f t="shared" si="62"/>
        <v>50137</v>
      </c>
      <c r="J83" s="157">
        <f t="shared" si="62"/>
        <v>15000</v>
      </c>
      <c r="K83" s="157">
        <f t="shared" si="62"/>
        <v>22301.599999999999</v>
      </c>
      <c r="L83" s="157">
        <f t="shared" si="62"/>
        <v>22301.599999999999</v>
      </c>
      <c r="M83" s="157">
        <f t="shared" si="62"/>
        <v>22301.599999999999</v>
      </c>
      <c r="N83" s="157">
        <f t="shared" si="62"/>
        <v>22301.599999999999</v>
      </c>
      <c r="O83" s="157">
        <f t="shared" si="62"/>
        <v>27827.63</v>
      </c>
      <c r="P83" s="157">
        <f t="shared" si="62"/>
        <v>27827.63</v>
      </c>
      <c r="Q83" s="157">
        <f t="shared" si="62"/>
        <v>29863.13</v>
      </c>
      <c r="R83" s="157">
        <f t="shared" si="62"/>
        <v>29863.13</v>
      </c>
      <c r="S83" s="157">
        <f t="shared" si="62"/>
        <v>30304.63</v>
      </c>
      <c r="T83" s="157">
        <f t="shared" si="62"/>
        <v>30304.63</v>
      </c>
      <c r="U83" s="157">
        <f t="shared" si="62"/>
        <v>32569.33</v>
      </c>
      <c r="V83" s="157">
        <f t="shared" si="62"/>
        <v>33183.43</v>
      </c>
      <c r="W83" s="157">
        <f t="shared" si="62"/>
        <v>35256.43</v>
      </c>
      <c r="X83" s="157">
        <f t="shared" si="62"/>
        <v>36324.879999999997</v>
      </c>
      <c r="Y83" s="157">
        <f t="shared" si="62"/>
        <v>39142.130000000005</v>
      </c>
      <c r="Z83" s="157">
        <f t="shared" si="62"/>
        <v>39142.130000000005</v>
      </c>
      <c r="AA83" s="157">
        <f t="shared" si="62"/>
        <v>39142.130000000005</v>
      </c>
      <c r="AB83" s="157">
        <f t="shared" si="62"/>
        <v>39142.130000000005</v>
      </c>
      <c r="AC83" s="157">
        <f t="shared" si="62"/>
        <v>39142.130000000005</v>
      </c>
      <c r="AD83" s="157">
        <f t="shared" si="62"/>
        <v>39142.130000000005</v>
      </c>
      <c r="AE83" s="157"/>
      <c r="AF83" s="157"/>
      <c r="AG83" s="157"/>
      <c r="AH83" s="157"/>
      <c r="AI83" s="157"/>
      <c r="AJ83" s="157"/>
      <c r="AK83" s="157"/>
      <c r="AL83" s="157"/>
    </row>
    <row r="84" spans="2:42" ht="15" customHeight="1"/>
    <row r="85" spans="2:42">
      <c r="B85" s="39" t="s">
        <v>155</v>
      </c>
      <c r="C85" s="174"/>
      <c r="D85" s="174"/>
      <c r="E85" s="53"/>
      <c r="F85" s="53"/>
      <c r="G85" s="53"/>
      <c r="H85" s="53"/>
      <c r="I85" s="53"/>
      <c r="J85" s="53"/>
      <c r="K85" s="53"/>
      <c r="L85" s="53"/>
      <c r="M85" s="53"/>
      <c r="N85" s="53"/>
      <c r="O85" s="53"/>
      <c r="P85" s="53"/>
      <c r="Q85" s="53"/>
      <c r="R85" s="53"/>
      <c r="S85" s="53"/>
      <c r="T85" s="53"/>
      <c r="U85" s="53"/>
      <c r="V85" s="53"/>
      <c r="W85" s="53"/>
      <c r="X85" s="53"/>
      <c r="Y85" s="53"/>
      <c r="Z85" s="53"/>
      <c r="AA85" s="53"/>
      <c r="AB85" s="53"/>
      <c r="AC85" s="53"/>
      <c r="AD85" s="53"/>
      <c r="AE85" s="53"/>
      <c r="AF85" s="53"/>
      <c r="AG85" s="53"/>
      <c r="AH85" s="53"/>
      <c r="AI85" s="53"/>
      <c r="AJ85" s="53"/>
      <c r="AK85" s="53"/>
      <c r="AL85" s="53"/>
      <c r="AM85" s="53"/>
      <c r="AN85" s="53"/>
      <c r="AO85" s="53"/>
      <c r="AP85" s="53"/>
    </row>
    <row r="86" spans="2:42" ht="15" customHeight="1">
      <c r="B86" s="150" t="s">
        <v>456</v>
      </c>
      <c r="C86" s="151" t="s">
        <v>10</v>
      </c>
      <c r="D86" s="156">
        <f>SUM(J86:AL86)</f>
        <v>-423500</v>
      </c>
      <c r="E86" s="28">
        <v>-30966</v>
      </c>
      <c r="F86" s="28">
        <v>-22243</v>
      </c>
      <c r="G86" s="28">
        <v>-38621</v>
      </c>
      <c r="H86" s="28">
        <v>-26677</v>
      </c>
      <c r="I86" s="28">
        <v>-44152</v>
      </c>
      <c r="J86" s="28">
        <f>J53+J57</f>
        <v>-12500</v>
      </c>
      <c r="K86" s="28">
        <f t="shared" ref="K86:AD86" si="63">K53+K57</f>
        <v>-15000</v>
      </c>
      <c r="L86" s="28">
        <f t="shared" si="63"/>
        <v>-15000</v>
      </c>
      <c r="M86" s="28">
        <f t="shared" si="63"/>
        <v>-15000</v>
      </c>
      <c r="N86" s="28">
        <f t="shared" si="63"/>
        <v>-15000</v>
      </c>
      <c r="O86" s="28">
        <f t="shared" si="63"/>
        <v>-18500</v>
      </c>
      <c r="P86" s="28">
        <f t="shared" si="63"/>
        <v>-18500</v>
      </c>
      <c r="Q86" s="28">
        <f t="shared" si="63"/>
        <v>-20000</v>
      </c>
      <c r="R86" s="28">
        <f t="shared" si="63"/>
        <v>-20000</v>
      </c>
      <c r="S86" s="28">
        <f t="shared" si="63"/>
        <v>-20000</v>
      </c>
      <c r="T86" s="28">
        <f t="shared" si="63"/>
        <v>-20000</v>
      </c>
      <c r="U86" s="28">
        <f t="shared" si="63"/>
        <v>-22000</v>
      </c>
      <c r="V86" s="28">
        <f t="shared" si="63"/>
        <v>-22000</v>
      </c>
      <c r="W86" s="28">
        <f t="shared" si="63"/>
        <v>-23000</v>
      </c>
      <c r="X86" s="28">
        <f t="shared" si="63"/>
        <v>-23000</v>
      </c>
      <c r="Y86" s="28">
        <f t="shared" si="63"/>
        <v>-24000</v>
      </c>
      <c r="Z86" s="28">
        <f t="shared" si="63"/>
        <v>-24000</v>
      </c>
      <c r="AA86" s="28">
        <f t="shared" si="63"/>
        <v>-24000</v>
      </c>
      <c r="AB86" s="28">
        <f t="shared" si="63"/>
        <v>-24000</v>
      </c>
      <c r="AC86" s="28">
        <f t="shared" si="63"/>
        <v>-24000</v>
      </c>
      <c r="AD86" s="28">
        <f t="shared" si="63"/>
        <v>-24000</v>
      </c>
      <c r="AE86" s="28"/>
      <c r="AF86" s="28"/>
      <c r="AG86" s="28"/>
      <c r="AH86" s="28"/>
      <c r="AI86" s="28"/>
      <c r="AJ86" s="28"/>
      <c r="AK86" s="28"/>
      <c r="AL86" s="28"/>
    </row>
    <row r="87" spans="2:42" ht="15" customHeight="1">
      <c r="B87" s="150" t="s">
        <v>481</v>
      </c>
      <c r="C87" s="151" t="s">
        <v>10</v>
      </c>
      <c r="D87" s="156">
        <f t="shared" ref="D87:D95" si="64">SUM(J87:AL87)</f>
        <v>-30900</v>
      </c>
      <c r="E87" s="28">
        <v>-2052</v>
      </c>
      <c r="F87" s="28">
        <v>-2692</v>
      </c>
      <c r="G87" s="28">
        <v>-2979</v>
      </c>
      <c r="H87" s="28">
        <v>-2089</v>
      </c>
      <c r="I87" s="28">
        <v>-1830</v>
      </c>
      <c r="J87" s="28">
        <v>-740</v>
      </c>
      <c r="K87" s="28">
        <v>-740</v>
      </c>
      <c r="L87" s="28">
        <v>-740</v>
      </c>
      <c r="M87" s="28">
        <v>-740</v>
      </c>
      <c r="N87" s="28">
        <v>-740</v>
      </c>
      <c r="O87" s="28">
        <v>-1700</v>
      </c>
      <c r="P87" s="28">
        <v>-1700</v>
      </c>
      <c r="Q87" s="28">
        <v>-1700</v>
      </c>
      <c r="R87" s="28">
        <v>-1700</v>
      </c>
      <c r="S87" s="28">
        <v>-1700</v>
      </c>
      <c r="T87" s="28">
        <v>-1700</v>
      </c>
      <c r="U87" s="28">
        <v>-1700</v>
      </c>
      <c r="V87" s="28">
        <v>-1700</v>
      </c>
      <c r="W87" s="28">
        <v>-1700</v>
      </c>
      <c r="X87" s="28">
        <v>-1700</v>
      </c>
      <c r="Y87" s="28">
        <v>-1700</v>
      </c>
      <c r="Z87" s="28">
        <v>-1700</v>
      </c>
      <c r="AA87" s="28">
        <v>-1700</v>
      </c>
      <c r="AB87" s="28">
        <v>-1700</v>
      </c>
      <c r="AC87" s="28">
        <v>-1700</v>
      </c>
      <c r="AD87" s="28">
        <v>-1700</v>
      </c>
      <c r="AE87" s="28"/>
      <c r="AF87" s="28"/>
      <c r="AG87" s="28"/>
      <c r="AH87" s="28"/>
      <c r="AI87" s="28"/>
      <c r="AJ87" s="28"/>
      <c r="AK87" s="28"/>
      <c r="AL87" s="28"/>
    </row>
    <row r="88" spans="2:42" ht="15" customHeight="1">
      <c r="B88" s="150" t="s">
        <v>480</v>
      </c>
      <c r="C88" s="151" t="s">
        <v>10</v>
      </c>
      <c r="D88" s="156">
        <f t="shared" ref="D88" si="65">SUM(J88:AL88)</f>
        <v>-9270</v>
      </c>
      <c r="E88" s="152">
        <f>E87*0.3</f>
        <v>-615.6</v>
      </c>
      <c r="F88" s="152">
        <f t="shared" ref="F88:AD88" si="66">F87*0.3</f>
        <v>-807.6</v>
      </c>
      <c r="G88" s="152">
        <f t="shared" si="66"/>
        <v>-893.69999999999993</v>
      </c>
      <c r="H88" s="152">
        <f t="shared" si="66"/>
        <v>-626.69999999999993</v>
      </c>
      <c r="I88" s="152">
        <f t="shared" si="66"/>
        <v>-549</v>
      </c>
      <c r="J88" s="152">
        <f t="shared" si="66"/>
        <v>-222</v>
      </c>
      <c r="K88" s="152">
        <f t="shared" si="66"/>
        <v>-222</v>
      </c>
      <c r="L88" s="152">
        <f t="shared" si="66"/>
        <v>-222</v>
      </c>
      <c r="M88" s="152">
        <f t="shared" si="66"/>
        <v>-222</v>
      </c>
      <c r="N88" s="152">
        <f t="shared" si="66"/>
        <v>-222</v>
      </c>
      <c r="O88" s="152">
        <f t="shared" si="66"/>
        <v>-510</v>
      </c>
      <c r="P88" s="152">
        <f t="shared" si="66"/>
        <v>-510</v>
      </c>
      <c r="Q88" s="152">
        <f t="shared" si="66"/>
        <v>-510</v>
      </c>
      <c r="R88" s="152">
        <f t="shared" si="66"/>
        <v>-510</v>
      </c>
      <c r="S88" s="152">
        <f t="shared" si="66"/>
        <v>-510</v>
      </c>
      <c r="T88" s="152">
        <f t="shared" si="66"/>
        <v>-510</v>
      </c>
      <c r="U88" s="152">
        <f t="shared" si="66"/>
        <v>-510</v>
      </c>
      <c r="V88" s="152">
        <f t="shared" si="66"/>
        <v>-510</v>
      </c>
      <c r="W88" s="152">
        <f t="shared" si="66"/>
        <v>-510</v>
      </c>
      <c r="X88" s="152">
        <f t="shared" si="66"/>
        <v>-510</v>
      </c>
      <c r="Y88" s="152">
        <f t="shared" si="66"/>
        <v>-510</v>
      </c>
      <c r="Z88" s="152">
        <f t="shared" si="66"/>
        <v>-510</v>
      </c>
      <c r="AA88" s="152">
        <f t="shared" si="66"/>
        <v>-510</v>
      </c>
      <c r="AB88" s="152">
        <f t="shared" si="66"/>
        <v>-510</v>
      </c>
      <c r="AC88" s="152">
        <f t="shared" si="66"/>
        <v>-510</v>
      </c>
      <c r="AD88" s="152">
        <f t="shared" si="66"/>
        <v>-510</v>
      </c>
      <c r="AE88" s="152"/>
      <c r="AF88" s="152"/>
      <c r="AG88" s="152"/>
      <c r="AH88" s="152"/>
      <c r="AI88" s="152"/>
      <c r="AJ88" s="152"/>
      <c r="AK88" s="152"/>
      <c r="AL88" s="152"/>
    </row>
    <row r="89" spans="2:42" ht="15" customHeight="1">
      <c r="B89" s="150" t="s">
        <v>457</v>
      </c>
      <c r="C89" s="151" t="s">
        <v>10</v>
      </c>
      <c r="D89" s="156">
        <f t="shared" si="64"/>
        <v>-1667</v>
      </c>
      <c r="E89" s="28"/>
      <c r="F89" s="28"/>
      <c r="G89" s="28"/>
      <c r="H89" s="28"/>
      <c r="I89" s="28"/>
      <c r="J89" s="28">
        <f t="shared" ref="J89" si="67">J62</f>
        <v>-23</v>
      </c>
      <c r="K89" s="28">
        <f t="shared" ref="K89:AD89" si="68">K62</f>
        <v>-113</v>
      </c>
      <c r="L89" s="28">
        <f t="shared" si="68"/>
        <v>-112</v>
      </c>
      <c r="M89" s="28">
        <f t="shared" si="68"/>
        <v>-113</v>
      </c>
      <c r="N89" s="28">
        <f t="shared" si="68"/>
        <v>-113</v>
      </c>
      <c r="O89" s="28">
        <f t="shared" si="68"/>
        <v>-113</v>
      </c>
      <c r="P89" s="28">
        <f t="shared" si="68"/>
        <v>-113</v>
      </c>
      <c r="Q89" s="28">
        <f t="shared" si="68"/>
        <v>-113</v>
      </c>
      <c r="R89" s="28">
        <f t="shared" si="68"/>
        <v>-112</v>
      </c>
      <c r="S89" s="28">
        <f t="shared" si="68"/>
        <v>-113</v>
      </c>
      <c r="T89" s="28">
        <f t="shared" si="68"/>
        <v>-105</v>
      </c>
      <c r="U89" s="28">
        <f t="shared" si="68"/>
        <v>-95</v>
      </c>
      <c r="V89" s="28">
        <f t="shared" si="68"/>
        <v>-85</v>
      </c>
      <c r="W89" s="28">
        <f t="shared" si="68"/>
        <v>-76</v>
      </c>
      <c r="X89" s="28">
        <f t="shared" si="68"/>
        <v>-67</v>
      </c>
      <c r="Y89" s="28">
        <f t="shared" si="68"/>
        <v>-58</v>
      </c>
      <c r="Z89" s="28">
        <f t="shared" si="68"/>
        <v>-47</v>
      </c>
      <c r="AA89" s="28">
        <f t="shared" si="68"/>
        <v>-40</v>
      </c>
      <c r="AB89" s="28">
        <f t="shared" si="68"/>
        <v>-29</v>
      </c>
      <c r="AC89" s="28">
        <f t="shared" si="68"/>
        <v>-19</v>
      </c>
      <c r="AD89" s="28">
        <f t="shared" si="68"/>
        <v>-8</v>
      </c>
      <c r="AE89" s="28"/>
      <c r="AF89" s="28"/>
      <c r="AG89" s="28"/>
      <c r="AH89" s="28"/>
      <c r="AI89" s="28"/>
      <c r="AJ89" s="28"/>
      <c r="AK89" s="28"/>
      <c r="AL89" s="28"/>
    </row>
    <row r="90" spans="2:42" ht="15" customHeight="1">
      <c r="B90" s="150" t="s">
        <v>458</v>
      </c>
      <c r="C90" s="151" t="s">
        <v>10</v>
      </c>
      <c r="D90" s="156">
        <f t="shared" si="64"/>
        <v>0</v>
      </c>
      <c r="E90" s="28"/>
      <c r="F90" s="28"/>
      <c r="G90" s="28"/>
      <c r="H90" s="28"/>
      <c r="I90" s="28"/>
      <c r="J90" s="28"/>
      <c r="K90" s="28"/>
      <c r="L90" s="28"/>
      <c r="M90" s="28"/>
      <c r="N90" s="28"/>
      <c r="O90" s="28"/>
      <c r="P90" s="28"/>
      <c r="Q90" s="28"/>
      <c r="R90" s="28"/>
      <c r="S90" s="28"/>
      <c r="T90" s="28"/>
      <c r="U90" s="28"/>
      <c r="V90" s="28"/>
      <c r="W90" s="28"/>
      <c r="X90" s="28"/>
      <c r="Y90" s="28"/>
      <c r="Z90" s="28"/>
      <c r="AA90" s="28"/>
      <c r="AB90" s="28"/>
      <c r="AC90" s="28"/>
      <c r="AD90" s="28"/>
      <c r="AE90" s="28"/>
      <c r="AF90" s="28"/>
      <c r="AG90" s="28"/>
      <c r="AH90" s="28"/>
      <c r="AI90" s="28"/>
      <c r="AJ90" s="28"/>
      <c r="AK90" s="28"/>
      <c r="AL90" s="28"/>
    </row>
    <row r="91" spans="2:42" ht="15" customHeight="1">
      <c r="B91" s="150" t="s">
        <v>460</v>
      </c>
      <c r="C91" s="151" t="s">
        <v>10</v>
      </c>
      <c r="D91" s="156">
        <f t="shared" si="64"/>
        <v>0</v>
      </c>
      <c r="E91" s="28"/>
      <c r="F91" s="28"/>
      <c r="G91" s="28"/>
      <c r="H91" s="28"/>
      <c r="I91" s="28"/>
      <c r="J91" s="28"/>
      <c r="K91" s="28"/>
      <c r="L91" s="28"/>
      <c r="M91" s="28"/>
      <c r="N91" s="28"/>
      <c r="O91" s="28"/>
      <c r="P91" s="28"/>
      <c r="Q91" s="28"/>
      <c r="R91" s="28"/>
      <c r="S91" s="28"/>
      <c r="T91" s="28"/>
      <c r="U91" s="28"/>
      <c r="V91" s="28"/>
      <c r="W91" s="28"/>
      <c r="X91" s="28"/>
      <c r="Y91" s="28"/>
      <c r="Z91" s="28"/>
      <c r="AA91" s="28"/>
      <c r="AB91" s="28"/>
      <c r="AC91" s="28"/>
      <c r="AD91" s="28"/>
      <c r="AE91" s="28"/>
      <c r="AF91" s="28"/>
      <c r="AG91" s="28"/>
      <c r="AH91" s="28"/>
      <c r="AI91" s="28"/>
      <c r="AJ91" s="28"/>
      <c r="AK91" s="28"/>
      <c r="AL91" s="28"/>
    </row>
    <row r="92" spans="2:42" ht="15" customHeight="1">
      <c r="B92" s="150" t="s">
        <v>459</v>
      </c>
      <c r="C92" s="151" t="s">
        <v>10</v>
      </c>
      <c r="D92" s="156">
        <f t="shared" si="64"/>
        <v>0</v>
      </c>
      <c r="E92" s="28"/>
      <c r="F92" s="28"/>
      <c r="G92" s="28"/>
      <c r="H92" s="28"/>
      <c r="I92" s="28"/>
      <c r="J92" s="28"/>
      <c r="K92" s="28"/>
      <c r="L92" s="28"/>
      <c r="M92" s="28"/>
      <c r="N92" s="28"/>
      <c r="O92" s="28"/>
      <c r="P92" s="28"/>
      <c r="Q92" s="28"/>
      <c r="R92" s="28"/>
      <c r="S92" s="28"/>
      <c r="T92" s="28"/>
      <c r="U92" s="28"/>
      <c r="V92" s="28"/>
      <c r="W92" s="28"/>
      <c r="X92" s="28"/>
      <c r="Y92" s="28"/>
      <c r="Z92" s="28"/>
      <c r="AA92" s="28"/>
      <c r="AB92" s="28"/>
      <c r="AC92" s="28"/>
      <c r="AD92" s="28"/>
      <c r="AE92" s="28"/>
      <c r="AF92" s="28"/>
      <c r="AG92" s="28"/>
      <c r="AH92" s="28"/>
      <c r="AI92" s="28"/>
      <c r="AJ92" s="28"/>
      <c r="AK92" s="28"/>
      <c r="AL92" s="28"/>
    </row>
    <row r="93" spans="2:42" ht="15" customHeight="1">
      <c r="B93" s="150" t="s">
        <v>97</v>
      </c>
      <c r="C93" s="151" t="s">
        <v>10</v>
      </c>
      <c r="D93" s="156">
        <f t="shared" si="64"/>
        <v>-37420</v>
      </c>
      <c r="E93" s="28">
        <v>-367</v>
      </c>
      <c r="F93" s="28">
        <v>-276</v>
      </c>
      <c r="G93" s="28">
        <v>-929</v>
      </c>
      <c r="H93" s="28">
        <v>-128</v>
      </c>
      <c r="I93" s="28">
        <v>-431</v>
      </c>
      <c r="J93" s="28">
        <f>J67</f>
        <v>-1120</v>
      </c>
      <c r="K93" s="28">
        <f t="shared" ref="K93:AD93" si="69">K67</f>
        <v>-1400</v>
      </c>
      <c r="L93" s="28">
        <f t="shared" si="69"/>
        <v>-1500</v>
      </c>
      <c r="M93" s="28">
        <f t="shared" si="69"/>
        <v>-1540</v>
      </c>
      <c r="N93" s="28">
        <f t="shared" si="69"/>
        <v>-1540</v>
      </c>
      <c r="O93" s="28">
        <f t="shared" si="69"/>
        <v>-1740</v>
      </c>
      <c r="P93" s="28">
        <f t="shared" si="69"/>
        <v>-1740</v>
      </c>
      <c r="Q93" s="28">
        <f t="shared" si="69"/>
        <v>-1740</v>
      </c>
      <c r="R93" s="28">
        <f t="shared" si="69"/>
        <v>-1740</v>
      </c>
      <c r="S93" s="28">
        <f t="shared" si="69"/>
        <v>-1740</v>
      </c>
      <c r="T93" s="28">
        <f t="shared" si="69"/>
        <v>-1740</v>
      </c>
      <c r="U93" s="28">
        <f t="shared" si="69"/>
        <v>-1740</v>
      </c>
      <c r="V93" s="28">
        <f t="shared" si="69"/>
        <v>-1740</v>
      </c>
      <c r="W93" s="28">
        <f t="shared" si="69"/>
        <v>-2050</v>
      </c>
      <c r="X93" s="28">
        <f t="shared" si="69"/>
        <v>-2050</v>
      </c>
      <c r="Y93" s="28">
        <f t="shared" si="69"/>
        <v>-2050</v>
      </c>
      <c r="Z93" s="28">
        <f t="shared" si="69"/>
        <v>-2050</v>
      </c>
      <c r="AA93" s="28">
        <f>AA67</f>
        <v>-2050</v>
      </c>
      <c r="AB93" s="28">
        <f t="shared" si="69"/>
        <v>-2050</v>
      </c>
      <c r="AC93" s="28">
        <f t="shared" si="69"/>
        <v>-2050</v>
      </c>
      <c r="AD93" s="28">
        <f t="shared" si="69"/>
        <v>-2050</v>
      </c>
      <c r="AE93" s="28"/>
      <c r="AF93" s="28"/>
      <c r="AG93" s="28"/>
      <c r="AH93" s="28"/>
      <c r="AI93" s="28"/>
      <c r="AJ93" s="28"/>
      <c r="AK93" s="28"/>
      <c r="AL93" s="28"/>
    </row>
    <row r="94" spans="2:42" ht="15" customHeight="1">
      <c r="B94" s="150" t="s">
        <v>156</v>
      </c>
      <c r="C94" s="151" t="s">
        <v>10</v>
      </c>
      <c r="D94" s="156">
        <f t="shared" si="64"/>
        <v>0</v>
      </c>
      <c r="E94" s="28">
        <v>-4271</v>
      </c>
      <c r="F94" s="28">
        <v>-3111</v>
      </c>
      <c r="G94" s="28">
        <v>-5322</v>
      </c>
      <c r="H94" s="28">
        <v>-5513</v>
      </c>
      <c r="I94" s="28">
        <v>-1347</v>
      </c>
      <c r="J94" s="28"/>
      <c r="K94" s="28"/>
      <c r="L94" s="28"/>
      <c r="M94" s="28"/>
      <c r="N94" s="28"/>
      <c r="O94" s="28"/>
      <c r="P94" s="28"/>
      <c r="Q94" s="28"/>
      <c r="R94" s="28"/>
      <c r="S94" s="28"/>
      <c r="T94" s="28"/>
      <c r="U94" s="28"/>
      <c r="V94" s="28"/>
      <c r="W94" s="28"/>
      <c r="X94" s="28"/>
      <c r="Y94" s="28"/>
      <c r="Z94" s="28"/>
      <c r="AA94" s="28"/>
      <c r="AB94" s="28"/>
      <c r="AC94" s="28"/>
      <c r="AD94" s="28"/>
      <c r="AE94" s="28"/>
      <c r="AF94" s="28"/>
      <c r="AG94" s="28"/>
      <c r="AH94" s="28"/>
      <c r="AI94" s="28"/>
      <c r="AJ94" s="28"/>
      <c r="AK94" s="28"/>
      <c r="AL94" s="28"/>
    </row>
    <row r="95" spans="2:42" ht="15" customHeight="1">
      <c r="B95" s="169" t="s">
        <v>11</v>
      </c>
      <c r="C95" s="170" t="s">
        <v>10</v>
      </c>
      <c r="D95" s="172">
        <f t="shared" si="64"/>
        <v>-502757</v>
      </c>
      <c r="E95" s="157">
        <f>SUM(E86,E87,E88,E89,E90,E91,E92,E93,E94)</f>
        <v>-38271.599999999999</v>
      </c>
      <c r="F95" s="157">
        <f t="shared" ref="F95:AD95" si="70">SUM(F86,F87,F88,F89,F90,F91,F92,F93,F94)</f>
        <v>-29129.599999999999</v>
      </c>
      <c r="G95" s="157">
        <f t="shared" si="70"/>
        <v>-48744.7</v>
      </c>
      <c r="H95" s="157">
        <f t="shared" si="70"/>
        <v>-35033.699999999997</v>
      </c>
      <c r="I95" s="157">
        <f t="shared" si="70"/>
        <v>-48309</v>
      </c>
      <c r="J95" s="157">
        <f t="shared" si="70"/>
        <v>-14605</v>
      </c>
      <c r="K95" s="157">
        <f t="shared" si="70"/>
        <v>-17475</v>
      </c>
      <c r="L95" s="157">
        <f t="shared" si="70"/>
        <v>-17574</v>
      </c>
      <c r="M95" s="157">
        <f t="shared" si="70"/>
        <v>-17615</v>
      </c>
      <c r="N95" s="157">
        <f t="shared" si="70"/>
        <v>-17615</v>
      </c>
      <c r="O95" s="157">
        <f t="shared" si="70"/>
        <v>-22563</v>
      </c>
      <c r="P95" s="157">
        <f t="shared" si="70"/>
        <v>-22563</v>
      </c>
      <c r="Q95" s="157">
        <f t="shared" si="70"/>
        <v>-24063</v>
      </c>
      <c r="R95" s="157">
        <f t="shared" si="70"/>
        <v>-24062</v>
      </c>
      <c r="S95" s="157">
        <f t="shared" si="70"/>
        <v>-24063</v>
      </c>
      <c r="T95" s="157">
        <f t="shared" si="70"/>
        <v>-24055</v>
      </c>
      <c r="U95" s="157">
        <f t="shared" si="70"/>
        <v>-26045</v>
      </c>
      <c r="V95" s="157">
        <f t="shared" si="70"/>
        <v>-26035</v>
      </c>
      <c r="W95" s="157">
        <f t="shared" si="70"/>
        <v>-27336</v>
      </c>
      <c r="X95" s="157">
        <f t="shared" si="70"/>
        <v>-27327</v>
      </c>
      <c r="Y95" s="157">
        <f t="shared" si="70"/>
        <v>-28318</v>
      </c>
      <c r="Z95" s="157">
        <f t="shared" si="70"/>
        <v>-28307</v>
      </c>
      <c r="AA95" s="157">
        <f t="shared" si="70"/>
        <v>-28300</v>
      </c>
      <c r="AB95" s="157">
        <f t="shared" si="70"/>
        <v>-28289</v>
      </c>
      <c r="AC95" s="157">
        <f t="shared" si="70"/>
        <v>-28279</v>
      </c>
      <c r="AD95" s="157">
        <f t="shared" si="70"/>
        <v>-28268</v>
      </c>
      <c r="AE95" s="157"/>
      <c r="AF95" s="157"/>
      <c r="AG95" s="157"/>
      <c r="AH95" s="157"/>
      <c r="AI95" s="157"/>
      <c r="AJ95" s="157"/>
      <c r="AK95" s="157"/>
      <c r="AL95" s="157"/>
    </row>
    <row r="96" spans="2:42" ht="15" customHeight="1"/>
    <row r="97" spans="2:44" ht="15" customHeight="1">
      <c r="B97" s="176" t="s">
        <v>101</v>
      </c>
      <c r="C97" s="177" t="s">
        <v>10</v>
      </c>
      <c r="D97" s="172">
        <f t="shared" ref="D97:AD97" si="71">SUM(D83,D95)</f>
        <v>149627.03000000003</v>
      </c>
      <c r="E97" s="172">
        <f t="shared" si="71"/>
        <v>-803.59999999999854</v>
      </c>
      <c r="F97" s="172">
        <f t="shared" si="71"/>
        <v>299.40000000000146</v>
      </c>
      <c r="G97" s="172">
        <f t="shared" si="71"/>
        <v>-309.69999999999709</v>
      </c>
      <c r="H97" s="172">
        <f t="shared" si="71"/>
        <v>236.30000000000291</v>
      </c>
      <c r="I97" s="172">
        <f t="shared" si="71"/>
        <v>1828</v>
      </c>
      <c r="J97" s="172">
        <f t="shared" si="71"/>
        <v>395</v>
      </c>
      <c r="K97" s="172">
        <f t="shared" si="71"/>
        <v>4826.5999999999985</v>
      </c>
      <c r="L97" s="172">
        <f t="shared" si="71"/>
        <v>4727.5999999999985</v>
      </c>
      <c r="M97" s="172">
        <f t="shared" si="71"/>
        <v>4686.5999999999985</v>
      </c>
      <c r="N97" s="172">
        <f t="shared" si="71"/>
        <v>4686.5999999999985</v>
      </c>
      <c r="O97" s="172">
        <f t="shared" si="71"/>
        <v>5264.630000000001</v>
      </c>
      <c r="P97" s="172">
        <f t="shared" si="71"/>
        <v>5264.630000000001</v>
      </c>
      <c r="Q97" s="172">
        <f t="shared" si="71"/>
        <v>5800.130000000001</v>
      </c>
      <c r="R97" s="172">
        <f t="shared" si="71"/>
        <v>5801.130000000001</v>
      </c>
      <c r="S97" s="172">
        <f t="shared" si="71"/>
        <v>6241.630000000001</v>
      </c>
      <c r="T97" s="172">
        <f t="shared" si="71"/>
        <v>6249.630000000001</v>
      </c>
      <c r="U97" s="172">
        <f t="shared" si="71"/>
        <v>6524.3300000000017</v>
      </c>
      <c r="V97" s="172">
        <f t="shared" si="71"/>
        <v>7148.43</v>
      </c>
      <c r="W97" s="172">
        <f t="shared" si="71"/>
        <v>7920.43</v>
      </c>
      <c r="X97" s="172">
        <f t="shared" si="71"/>
        <v>8997.8799999999974</v>
      </c>
      <c r="Y97" s="172">
        <f t="shared" si="71"/>
        <v>10824.130000000005</v>
      </c>
      <c r="Z97" s="172">
        <f t="shared" si="71"/>
        <v>10835.130000000005</v>
      </c>
      <c r="AA97" s="172">
        <f t="shared" si="71"/>
        <v>10842.130000000005</v>
      </c>
      <c r="AB97" s="172">
        <f t="shared" si="71"/>
        <v>10853.130000000005</v>
      </c>
      <c r="AC97" s="172">
        <f t="shared" si="71"/>
        <v>10863.130000000005</v>
      </c>
      <c r="AD97" s="172">
        <f t="shared" si="71"/>
        <v>10874.130000000005</v>
      </c>
      <c r="AE97" s="172"/>
      <c r="AF97" s="172"/>
      <c r="AG97" s="172"/>
      <c r="AH97" s="172"/>
      <c r="AI97" s="172"/>
      <c r="AJ97" s="172"/>
      <c r="AK97" s="172"/>
      <c r="AL97" s="172"/>
    </row>
    <row r="98" spans="2:44" ht="15" customHeight="1"/>
    <row r="99" spans="2:44" ht="21">
      <c r="B99" s="166" t="s">
        <v>98</v>
      </c>
      <c r="D99" s="52"/>
      <c r="E99" s="53"/>
      <c r="F99" s="53"/>
      <c r="G99" s="53"/>
      <c r="H99" s="53"/>
      <c r="I99" s="53"/>
      <c r="J99" s="53"/>
      <c r="K99" s="53"/>
      <c r="L99" s="53"/>
      <c r="M99" s="53"/>
      <c r="N99" s="53"/>
      <c r="O99" s="53"/>
      <c r="P99" s="53"/>
      <c r="Q99" s="53"/>
      <c r="R99" s="53"/>
      <c r="S99" s="53"/>
      <c r="T99" s="53"/>
      <c r="U99" s="53"/>
      <c r="V99" s="53"/>
      <c r="W99" s="53"/>
      <c r="X99" s="53"/>
      <c r="Y99" s="53"/>
      <c r="Z99" s="53"/>
      <c r="AA99" s="53"/>
      <c r="AB99" s="53"/>
      <c r="AC99" s="53"/>
      <c r="AD99" s="53"/>
      <c r="AE99" s="53"/>
      <c r="AF99" s="53"/>
      <c r="AG99" s="53"/>
      <c r="AH99" s="53"/>
      <c r="AI99" s="53"/>
      <c r="AJ99" s="53"/>
      <c r="AK99" s="53"/>
      <c r="AL99" s="53"/>
      <c r="AM99" s="53"/>
      <c r="AN99" s="53"/>
      <c r="AO99" s="53"/>
      <c r="AP99" s="53"/>
      <c r="AQ99" s="53"/>
      <c r="AR99" s="53"/>
    </row>
    <row r="100" spans="2:44">
      <c r="B100" s="39" t="s">
        <v>153</v>
      </c>
      <c r="C100" s="174"/>
      <c r="D100" s="174"/>
      <c r="E100" s="53"/>
      <c r="F100" s="53"/>
      <c r="G100" s="53"/>
      <c r="H100" s="53"/>
      <c r="I100" s="53"/>
      <c r="J100" s="53"/>
      <c r="K100" s="53"/>
      <c r="L100" s="53"/>
      <c r="M100" s="53"/>
      <c r="N100" s="53"/>
      <c r="O100" s="53"/>
      <c r="P100" s="53"/>
      <c r="Q100" s="53"/>
      <c r="R100" s="53"/>
      <c r="S100" s="53"/>
      <c r="T100" s="53"/>
      <c r="U100" s="53"/>
      <c r="V100" s="53"/>
      <c r="W100" s="53"/>
      <c r="X100" s="53"/>
      <c r="Y100" s="53"/>
      <c r="Z100" s="53"/>
      <c r="AA100" s="53"/>
      <c r="AB100" s="53"/>
      <c r="AC100" s="53"/>
      <c r="AD100" s="53"/>
      <c r="AE100" s="53"/>
      <c r="AF100" s="53"/>
      <c r="AG100" s="53"/>
      <c r="AH100" s="53"/>
      <c r="AI100" s="53"/>
      <c r="AJ100" s="53"/>
      <c r="AK100" s="53"/>
      <c r="AL100" s="53"/>
      <c r="AM100" s="53"/>
      <c r="AN100" s="53"/>
      <c r="AO100" s="53"/>
      <c r="AP100" s="53"/>
    </row>
    <row r="101" spans="2:44" ht="15" customHeight="1">
      <c r="B101" s="175" t="s">
        <v>167</v>
      </c>
      <c r="C101" s="151" t="s">
        <v>10</v>
      </c>
      <c r="D101" s="156">
        <f>SUM(J101:AL101)</f>
        <v>0</v>
      </c>
      <c r="E101" s="28"/>
      <c r="F101" s="28"/>
      <c r="G101" s="28"/>
      <c r="H101" s="28"/>
      <c r="I101" s="28"/>
      <c r="J101" s="28"/>
      <c r="K101" s="28"/>
      <c r="L101" s="28"/>
      <c r="M101" s="28"/>
      <c r="N101" s="28"/>
      <c r="O101" s="28"/>
      <c r="P101" s="28"/>
      <c r="Q101" s="28"/>
      <c r="R101" s="28"/>
      <c r="S101" s="28"/>
      <c r="T101" s="28"/>
      <c r="U101" s="28"/>
      <c r="V101" s="28"/>
      <c r="W101" s="28"/>
      <c r="X101" s="28"/>
      <c r="Y101" s="28"/>
      <c r="Z101" s="28"/>
      <c r="AA101" s="28"/>
      <c r="AB101" s="28"/>
      <c r="AC101" s="28"/>
      <c r="AD101" s="28"/>
      <c r="AE101" s="28"/>
      <c r="AF101" s="28"/>
      <c r="AG101" s="28"/>
      <c r="AH101" s="28"/>
      <c r="AI101" s="28"/>
      <c r="AJ101" s="28"/>
      <c r="AK101" s="28"/>
      <c r="AL101" s="28"/>
    </row>
    <row r="102" spans="2:44" ht="15" customHeight="1">
      <c r="B102" s="150" t="s">
        <v>168</v>
      </c>
      <c r="C102" s="151" t="s">
        <v>10</v>
      </c>
      <c r="D102" s="156">
        <f>SUM(J102:AL102)</f>
        <v>0</v>
      </c>
      <c r="E102" s="28"/>
      <c r="F102" s="28"/>
      <c r="G102" s="28"/>
      <c r="H102" s="28"/>
      <c r="I102" s="28"/>
      <c r="J102" s="28"/>
      <c r="K102" s="28"/>
      <c r="L102" s="28"/>
      <c r="M102" s="28"/>
      <c r="N102" s="28"/>
      <c r="O102" s="28"/>
      <c r="P102" s="28"/>
      <c r="Q102" s="28"/>
      <c r="R102" s="28"/>
      <c r="S102" s="28"/>
      <c r="T102" s="28"/>
      <c r="U102" s="28"/>
      <c r="V102" s="28"/>
      <c r="W102" s="28"/>
      <c r="X102" s="28"/>
      <c r="Y102" s="28"/>
      <c r="Z102" s="28"/>
      <c r="AA102" s="28"/>
      <c r="AB102" s="28"/>
      <c r="AC102" s="28"/>
      <c r="AD102" s="28"/>
      <c r="AE102" s="28"/>
      <c r="AF102" s="28"/>
      <c r="AG102" s="28"/>
      <c r="AH102" s="28"/>
      <c r="AI102" s="28"/>
      <c r="AJ102" s="28"/>
      <c r="AK102" s="28"/>
      <c r="AL102" s="28"/>
    </row>
    <row r="103" spans="2:44" ht="15" customHeight="1">
      <c r="B103" s="150" t="s">
        <v>169</v>
      </c>
      <c r="C103" s="151" t="s">
        <v>10</v>
      </c>
      <c r="D103" s="156">
        <f>SUM(J103:AL103)</f>
        <v>0</v>
      </c>
      <c r="E103" s="28"/>
      <c r="F103" s="28"/>
      <c r="G103" s="28"/>
      <c r="H103" s="28"/>
      <c r="I103" s="28"/>
      <c r="J103" s="28"/>
      <c r="K103" s="28"/>
      <c r="L103" s="28"/>
      <c r="M103" s="28"/>
      <c r="N103" s="28"/>
      <c r="O103" s="28"/>
      <c r="P103" s="28"/>
      <c r="Q103" s="28"/>
      <c r="R103" s="28"/>
      <c r="S103" s="28"/>
      <c r="T103" s="28"/>
      <c r="U103" s="28"/>
      <c r="V103" s="28"/>
      <c r="W103" s="28"/>
      <c r="X103" s="28"/>
      <c r="Y103" s="28"/>
      <c r="Z103" s="28"/>
      <c r="AA103" s="28"/>
      <c r="AB103" s="28"/>
      <c r="AC103" s="28"/>
      <c r="AD103" s="28"/>
      <c r="AE103" s="28"/>
      <c r="AF103" s="28"/>
      <c r="AG103" s="28"/>
      <c r="AH103" s="28"/>
      <c r="AI103" s="28"/>
      <c r="AJ103" s="28"/>
      <c r="AK103" s="28"/>
      <c r="AL103" s="28"/>
    </row>
    <row r="104" spans="2:44" ht="15" customHeight="1">
      <c r="B104" s="150" t="s">
        <v>170</v>
      </c>
      <c r="C104" s="151" t="s">
        <v>10</v>
      </c>
      <c r="D104" s="156">
        <f>SUM(J104:AL104)</f>
        <v>0</v>
      </c>
      <c r="E104" s="28"/>
      <c r="F104" s="28"/>
      <c r="G104" s="28"/>
      <c r="H104" s="28"/>
      <c r="I104" s="28"/>
      <c r="J104" s="28"/>
      <c r="K104" s="28"/>
      <c r="L104" s="28"/>
      <c r="M104" s="28"/>
      <c r="N104" s="28"/>
      <c r="O104" s="28"/>
      <c r="P104" s="28"/>
      <c r="Q104" s="28"/>
      <c r="R104" s="28"/>
      <c r="S104" s="28"/>
      <c r="T104" s="28"/>
      <c r="U104" s="28"/>
      <c r="V104" s="28"/>
      <c r="W104" s="28"/>
      <c r="X104" s="28"/>
      <c r="Y104" s="28"/>
      <c r="Z104" s="28"/>
      <c r="AA104" s="28"/>
      <c r="AB104" s="28"/>
      <c r="AC104" s="28"/>
      <c r="AD104" s="28"/>
      <c r="AE104" s="28"/>
      <c r="AF104" s="28"/>
      <c r="AG104" s="28"/>
      <c r="AH104" s="28"/>
      <c r="AI104" s="28"/>
      <c r="AJ104" s="28"/>
      <c r="AK104" s="28"/>
      <c r="AL104" s="28"/>
    </row>
    <row r="105" spans="2:44" ht="15" customHeight="1">
      <c r="B105" s="150" t="s">
        <v>154</v>
      </c>
      <c r="C105" s="151" t="s">
        <v>10</v>
      </c>
      <c r="D105" s="156">
        <f>SUM(J105:AL105)</f>
        <v>0</v>
      </c>
      <c r="E105" s="28"/>
      <c r="F105" s="28"/>
      <c r="G105" s="28"/>
      <c r="H105" s="28"/>
      <c r="I105" s="28"/>
      <c r="J105" s="28"/>
      <c r="K105" s="28"/>
      <c r="L105" s="28"/>
      <c r="M105" s="28"/>
      <c r="N105" s="28"/>
      <c r="O105" s="28"/>
      <c r="P105" s="28"/>
      <c r="Q105" s="28"/>
      <c r="R105" s="28"/>
      <c r="S105" s="28"/>
      <c r="T105" s="28"/>
      <c r="U105" s="28"/>
      <c r="V105" s="28"/>
      <c r="W105" s="28"/>
      <c r="X105" s="28"/>
      <c r="Y105" s="28"/>
      <c r="Z105" s="28"/>
      <c r="AA105" s="28"/>
      <c r="AB105" s="28"/>
      <c r="AC105" s="28"/>
      <c r="AD105" s="28"/>
      <c r="AE105" s="28"/>
      <c r="AF105" s="28"/>
      <c r="AG105" s="28"/>
      <c r="AH105" s="28"/>
      <c r="AI105" s="28"/>
      <c r="AJ105" s="28"/>
      <c r="AK105" s="28"/>
      <c r="AL105" s="28"/>
    </row>
    <row r="106" spans="2:44" ht="15" customHeight="1">
      <c r="B106" s="169" t="s">
        <v>11</v>
      </c>
      <c r="C106" s="170" t="s">
        <v>10</v>
      </c>
      <c r="D106" s="172">
        <f t="shared" ref="D106" si="72">SUM(D101:D105)</f>
        <v>0</v>
      </c>
      <c r="E106" s="157">
        <f>SUM(E101,E102,E103,E104,E105)</f>
        <v>0</v>
      </c>
      <c r="F106" s="157">
        <f t="shared" ref="F106:AD106" si="73">SUM(F101,F102,F103,F104,F105)</f>
        <v>0</v>
      </c>
      <c r="G106" s="157">
        <f t="shared" si="73"/>
        <v>0</v>
      </c>
      <c r="H106" s="157">
        <f t="shared" si="73"/>
        <v>0</v>
      </c>
      <c r="I106" s="157">
        <f t="shared" si="73"/>
        <v>0</v>
      </c>
      <c r="J106" s="157">
        <f t="shared" si="73"/>
        <v>0</v>
      </c>
      <c r="K106" s="157">
        <f t="shared" si="73"/>
        <v>0</v>
      </c>
      <c r="L106" s="157">
        <f t="shared" si="73"/>
        <v>0</v>
      </c>
      <c r="M106" s="157">
        <f t="shared" si="73"/>
        <v>0</v>
      </c>
      <c r="N106" s="157">
        <f t="shared" si="73"/>
        <v>0</v>
      </c>
      <c r="O106" s="157">
        <f t="shared" si="73"/>
        <v>0</v>
      </c>
      <c r="P106" s="157">
        <f t="shared" si="73"/>
        <v>0</v>
      </c>
      <c r="Q106" s="157">
        <f t="shared" si="73"/>
        <v>0</v>
      </c>
      <c r="R106" s="157">
        <f t="shared" si="73"/>
        <v>0</v>
      </c>
      <c r="S106" s="157">
        <f t="shared" si="73"/>
        <v>0</v>
      </c>
      <c r="T106" s="157">
        <f t="shared" si="73"/>
        <v>0</v>
      </c>
      <c r="U106" s="157">
        <f t="shared" si="73"/>
        <v>0</v>
      </c>
      <c r="V106" s="157">
        <f t="shared" si="73"/>
        <v>0</v>
      </c>
      <c r="W106" s="157">
        <f t="shared" si="73"/>
        <v>0</v>
      </c>
      <c r="X106" s="157">
        <f t="shared" si="73"/>
        <v>0</v>
      </c>
      <c r="Y106" s="157">
        <f t="shared" si="73"/>
        <v>0</v>
      </c>
      <c r="Z106" s="157">
        <f t="shared" si="73"/>
        <v>0</v>
      </c>
      <c r="AA106" s="157">
        <f t="shared" si="73"/>
        <v>0</v>
      </c>
      <c r="AB106" s="157">
        <f t="shared" si="73"/>
        <v>0</v>
      </c>
      <c r="AC106" s="157">
        <f t="shared" si="73"/>
        <v>0</v>
      </c>
      <c r="AD106" s="157">
        <f t="shared" si="73"/>
        <v>0</v>
      </c>
      <c r="AE106" s="157"/>
      <c r="AF106" s="157"/>
      <c r="AG106" s="157"/>
      <c r="AH106" s="157"/>
      <c r="AI106" s="157"/>
      <c r="AJ106" s="157"/>
      <c r="AK106" s="157"/>
      <c r="AL106" s="157"/>
    </row>
    <row r="107" spans="2:44" ht="15" customHeight="1"/>
    <row r="108" spans="2:44">
      <c r="B108" s="39" t="s">
        <v>155</v>
      </c>
      <c r="C108" s="174"/>
      <c r="D108" s="174"/>
      <c r="E108" s="53"/>
      <c r="F108" s="53"/>
      <c r="G108" s="53"/>
      <c r="H108" s="53"/>
      <c r="I108" s="53"/>
      <c r="J108" s="53"/>
      <c r="K108" s="53"/>
      <c r="L108" s="53"/>
      <c r="M108" s="53"/>
      <c r="N108" s="53"/>
      <c r="O108" s="53"/>
      <c r="P108" s="53"/>
      <c r="Q108" s="53"/>
      <c r="R108" s="53"/>
      <c r="S108" s="53"/>
      <c r="T108" s="53"/>
      <c r="U108" s="53"/>
      <c r="V108" s="53"/>
      <c r="W108" s="53"/>
      <c r="X108" s="53"/>
      <c r="Y108" s="53"/>
      <c r="Z108" s="53"/>
      <c r="AA108" s="53"/>
      <c r="AB108" s="53"/>
      <c r="AC108" s="53"/>
      <c r="AD108" s="53"/>
      <c r="AE108" s="53"/>
      <c r="AF108" s="53"/>
      <c r="AG108" s="53"/>
      <c r="AH108" s="53"/>
      <c r="AI108" s="53"/>
      <c r="AJ108" s="53"/>
      <c r="AK108" s="53"/>
      <c r="AL108" s="53"/>
      <c r="AM108" s="53"/>
      <c r="AN108" s="53"/>
      <c r="AO108" s="53"/>
      <c r="AP108" s="53"/>
    </row>
    <row r="109" spans="2:44" ht="15" customHeight="1">
      <c r="B109" s="150" t="s">
        <v>330</v>
      </c>
      <c r="C109" s="151" t="s">
        <v>10</v>
      </c>
      <c r="D109" s="156">
        <f>SUM(J109:AL109)</f>
        <v>-38000</v>
      </c>
      <c r="E109" s="28"/>
      <c r="F109" s="28"/>
      <c r="G109" s="28"/>
      <c r="H109" s="28"/>
      <c r="I109" s="28"/>
      <c r="J109" s="28">
        <v>-35486</v>
      </c>
      <c r="K109" s="28">
        <v>-2514</v>
      </c>
      <c r="L109" s="28"/>
      <c r="M109" s="28"/>
      <c r="N109" s="28"/>
      <c r="O109" s="28"/>
      <c r="P109" s="28"/>
      <c r="Q109" s="28"/>
      <c r="R109" s="28"/>
      <c r="S109" s="28"/>
      <c r="T109" s="28"/>
      <c r="U109" s="28"/>
      <c r="V109" s="28"/>
      <c r="W109" s="28"/>
      <c r="X109" s="28"/>
      <c r="Y109" s="28"/>
      <c r="Z109" s="28"/>
      <c r="AA109" s="28"/>
      <c r="AB109" s="28"/>
      <c r="AC109" s="28"/>
      <c r="AD109" s="28"/>
      <c r="AE109" s="28"/>
      <c r="AF109" s="28"/>
      <c r="AG109" s="28"/>
      <c r="AH109" s="28"/>
      <c r="AI109" s="28"/>
      <c r="AJ109" s="28"/>
      <c r="AK109" s="28"/>
      <c r="AL109" s="28"/>
    </row>
    <row r="110" spans="2:44" ht="15" customHeight="1">
      <c r="B110" s="150" t="s">
        <v>99</v>
      </c>
      <c r="C110" s="151" t="s">
        <v>10</v>
      </c>
      <c r="D110" s="156">
        <f>SUM(J110:AL110)</f>
        <v>0</v>
      </c>
      <c r="E110" s="28"/>
      <c r="F110" s="28"/>
      <c r="G110" s="28"/>
      <c r="H110" s="28"/>
      <c r="I110" s="28"/>
      <c r="J110" s="28"/>
      <c r="K110" s="28"/>
      <c r="L110" s="28"/>
      <c r="M110" s="28"/>
      <c r="N110" s="28"/>
      <c r="O110" s="28"/>
      <c r="P110" s="28"/>
      <c r="Q110" s="28"/>
      <c r="R110" s="28"/>
      <c r="S110" s="28"/>
      <c r="T110" s="28"/>
      <c r="U110" s="28"/>
      <c r="V110" s="28"/>
      <c r="W110" s="28"/>
      <c r="X110" s="28"/>
      <c r="Y110" s="28"/>
      <c r="Z110" s="28"/>
      <c r="AA110" s="28"/>
      <c r="AB110" s="28"/>
      <c r="AC110" s="28"/>
      <c r="AD110" s="28"/>
      <c r="AE110" s="28"/>
      <c r="AF110" s="28"/>
      <c r="AG110" s="28"/>
      <c r="AH110" s="28"/>
      <c r="AI110" s="28"/>
      <c r="AJ110" s="28"/>
      <c r="AK110" s="28"/>
      <c r="AL110" s="28"/>
    </row>
    <row r="111" spans="2:44" ht="15" customHeight="1">
      <c r="B111" s="150" t="s">
        <v>175</v>
      </c>
      <c r="C111" s="151" t="s">
        <v>10</v>
      </c>
      <c r="D111" s="156">
        <f>SUM(J111:AL111)</f>
        <v>0</v>
      </c>
      <c r="E111" s="28"/>
      <c r="F111" s="28"/>
      <c r="G111" s="28"/>
      <c r="H111" s="28"/>
      <c r="I111" s="28"/>
      <c r="J111" s="28"/>
      <c r="K111" s="28"/>
      <c r="L111" s="28"/>
      <c r="M111" s="28"/>
      <c r="N111" s="28"/>
      <c r="O111" s="28"/>
      <c r="P111" s="28"/>
      <c r="Q111" s="28"/>
      <c r="R111" s="28"/>
      <c r="S111" s="28"/>
      <c r="T111" s="28"/>
      <c r="U111" s="28"/>
      <c r="V111" s="28"/>
      <c r="W111" s="28"/>
      <c r="X111" s="28"/>
      <c r="Y111" s="28"/>
      <c r="Z111" s="28"/>
      <c r="AA111" s="28"/>
      <c r="AB111" s="28"/>
      <c r="AC111" s="28"/>
      <c r="AD111" s="28"/>
      <c r="AE111" s="28"/>
      <c r="AF111" s="28"/>
      <c r="AG111" s="28"/>
      <c r="AH111" s="28"/>
      <c r="AI111" s="28"/>
      <c r="AJ111" s="28"/>
      <c r="AK111" s="28"/>
      <c r="AL111" s="28"/>
    </row>
    <row r="112" spans="2:44" ht="15" customHeight="1">
      <c r="B112" s="150" t="s">
        <v>166</v>
      </c>
      <c r="C112" s="151" t="s">
        <v>10</v>
      </c>
      <c r="D112" s="156">
        <f>SUM(J112:AL112)</f>
        <v>0</v>
      </c>
      <c r="E112" s="28"/>
      <c r="F112" s="28"/>
      <c r="G112" s="28"/>
      <c r="H112" s="28"/>
      <c r="I112" s="28"/>
      <c r="J112" s="28"/>
      <c r="K112" s="28"/>
      <c r="L112" s="28"/>
      <c r="M112" s="28"/>
      <c r="N112" s="28"/>
      <c r="O112" s="28"/>
      <c r="P112" s="28"/>
      <c r="Q112" s="28"/>
      <c r="R112" s="28"/>
      <c r="S112" s="28"/>
      <c r="T112" s="28"/>
      <c r="U112" s="28"/>
      <c r="V112" s="28"/>
      <c r="W112" s="28"/>
      <c r="X112" s="28"/>
      <c r="Y112" s="28"/>
      <c r="Z112" s="28"/>
      <c r="AA112" s="28"/>
      <c r="AB112" s="28"/>
      <c r="AC112" s="28"/>
      <c r="AD112" s="28"/>
      <c r="AE112" s="28"/>
      <c r="AF112" s="28"/>
      <c r="AG112" s="28"/>
      <c r="AH112" s="28"/>
      <c r="AI112" s="28"/>
      <c r="AJ112" s="28"/>
      <c r="AK112" s="28"/>
      <c r="AL112" s="28"/>
    </row>
    <row r="113" spans="2:44" ht="15" customHeight="1">
      <c r="B113" s="150" t="s">
        <v>156</v>
      </c>
      <c r="C113" s="151" t="s">
        <v>10</v>
      </c>
      <c r="D113" s="156">
        <f>SUM(J113:AL113)</f>
        <v>0</v>
      </c>
      <c r="E113" s="28"/>
      <c r="F113" s="28"/>
      <c r="G113" s="28"/>
      <c r="H113" s="28"/>
      <c r="I113" s="28"/>
      <c r="J113" s="28"/>
      <c r="K113" s="28"/>
      <c r="L113" s="28"/>
      <c r="M113" s="28"/>
      <c r="N113" s="28"/>
      <c r="O113" s="28"/>
      <c r="P113" s="28"/>
      <c r="Q113" s="28"/>
      <c r="R113" s="28"/>
      <c r="S113" s="28"/>
      <c r="T113" s="28"/>
      <c r="U113" s="28"/>
      <c r="V113" s="28"/>
      <c r="W113" s="28"/>
      <c r="X113" s="28"/>
      <c r="Y113" s="28"/>
      <c r="Z113" s="28"/>
      <c r="AA113" s="28"/>
      <c r="AB113" s="28"/>
      <c r="AC113" s="28"/>
      <c r="AD113" s="28"/>
      <c r="AE113" s="28"/>
      <c r="AF113" s="28"/>
      <c r="AG113" s="28"/>
      <c r="AH113" s="28"/>
      <c r="AI113" s="28"/>
      <c r="AJ113" s="28"/>
      <c r="AK113" s="28"/>
      <c r="AL113" s="28"/>
    </row>
    <row r="114" spans="2:44" ht="15" customHeight="1">
      <c r="B114" s="169" t="s">
        <v>11</v>
      </c>
      <c r="C114" s="170" t="s">
        <v>10</v>
      </c>
      <c r="D114" s="172">
        <f>SUM(D109:D113)</f>
        <v>-38000</v>
      </c>
      <c r="E114" s="157">
        <f>SUM(E109,E110,E111,E112,E113)</f>
        <v>0</v>
      </c>
      <c r="F114" s="157">
        <f t="shared" ref="F114:AD114" si="74">SUM(F109,F110,F111,F112,F113)</f>
        <v>0</v>
      </c>
      <c r="G114" s="157">
        <f t="shared" si="74"/>
        <v>0</v>
      </c>
      <c r="H114" s="157">
        <f t="shared" si="74"/>
        <v>0</v>
      </c>
      <c r="I114" s="157">
        <f t="shared" si="74"/>
        <v>0</v>
      </c>
      <c r="J114" s="157">
        <f t="shared" si="74"/>
        <v>-35486</v>
      </c>
      <c r="K114" s="157">
        <f t="shared" si="74"/>
        <v>-2514</v>
      </c>
      <c r="L114" s="157">
        <f t="shared" si="74"/>
        <v>0</v>
      </c>
      <c r="M114" s="157">
        <f t="shared" si="74"/>
        <v>0</v>
      </c>
      <c r="N114" s="157">
        <f t="shared" si="74"/>
        <v>0</v>
      </c>
      <c r="O114" s="157">
        <f t="shared" si="74"/>
        <v>0</v>
      </c>
      <c r="P114" s="157">
        <f t="shared" si="74"/>
        <v>0</v>
      </c>
      <c r="Q114" s="157">
        <f t="shared" si="74"/>
        <v>0</v>
      </c>
      <c r="R114" s="157">
        <f t="shared" si="74"/>
        <v>0</v>
      </c>
      <c r="S114" s="157">
        <f t="shared" si="74"/>
        <v>0</v>
      </c>
      <c r="T114" s="157">
        <f t="shared" si="74"/>
        <v>0</v>
      </c>
      <c r="U114" s="157">
        <f t="shared" si="74"/>
        <v>0</v>
      </c>
      <c r="V114" s="157">
        <f t="shared" si="74"/>
        <v>0</v>
      </c>
      <c r="W114" s="157">
        <f t="shared" si="74"/>
        <v>0</v>
      </c>
      <c r="X114" s="157">
        <f t="shared" si="74"/>
        <v>0</v>
      </c>
      <c r="Y114" s="157">
        <f t="shared" si="74"/>
        <v>0</v>
      </c>
      <c r="Z114" s="157">
        <f t="shared" si="74"/>
        <v>0</v>
      </c>
      <c r="AA114" s="157">
        <f t="shared" si="74"/>
        <v>0</v>
      </c>
      <c r="AB114" s="157">
        <f t="shared" si="74"/>
        <v>0</v>
      </c>
      <c r="AC114" s="157">
        <f t="shared" si="74"/>
        <v>0</v>
      </c>
      <c r="AD114" s="157">
        <f t="shared" si="74"/>
        <v>0</v>
      </c>
      <c r="AE114" s="157"/>
      <c r="AF114" s="157"/>
      <c r="AG114" s="157"/>
      <c r="AH114" s="157"/>
      <c r="AI114" s="157"/>
      <c r="AJ114" s="157"/>
      <c r="AK114" s="157"/>
      <c r="AL114" s="157"/>
    </row>
    <row r="115" spans="2:44" ht="15" customHeight="1"/>
    <row r="116" spans="2:44" ht="15" customHeight="1">
      <c r="B116" s="176" t="s">
        <v>102</v>
      </c>
      <c r="C116" s="177" t="s">
        <v>10</v>
      </c>
      <c r="D116" s="172">
        <f t="shared" ref="D116:J116" si="75">SUM(D106,D114)</f>
        <v>-38000</v>
      </c>
      <c r="E116" s="172">
        <f t="shared" ref="E116:I116" si="76">SUM(E106,E114)</f>
        <v>0</v>
      </c>
      <c r="F116" s="172">
        <f t="shared" si="76"/>
        <v>0</v>
      </c>
      <c r="G116" s="172">
        <f t="shared" si="76"/>
        <v>0</v>
      </c>
      <c r="H116" s="172">
        <f t="shared" si="76"/>
        <v>0</v>
      </c>
      <c r="I116" s="172">
        <f t="shared" si="76"/>
        <v>0</v>
      </c>
      <c r="J116" s="172">
        <f t="shared" si="75"/>
        <v>-35486</v>
      </c>
      <c r="K116" s="172">
        <f t="shared" ref="K116:AB116" si="77">SUM(K106,K114)</f>
        <v>-2514</v>
      </c>
      <c r="L116" s="172">
        <f t="shared" si="77"/>
        <v>0</v>
      </c>
      <c r="M116" s="172">
        <f t="shared" si="77"/>
        <v>0</v>
      </c>
      <c r="N116" s="172">
        <f t="shared" si="77"/>
        <v>0</v>
      </c>
      <c r="O116" s="172">
        <f t="shared" si="77"/>
        <v>0</v>
      </c>
      <c r="P116" s="172">
        <f t="shared" si="77"/>
        <v>0</v>
      </c>
      <c r="Q116" s="172">
        <f t="shared" si="77"/>
        <v>0</v>
      </c>
      <c r="R116" s="172">
        <f t="shared" si="77"/>
        <v>0</v>
      </c>
      <c r="S116" s="172">
        <f t="shared" si="77"/>
        <v>0</v>
      </c>
      <c r="T116" s="172">
        <f t="shared" si="77"/>
        <v>0</v>
      </c>
      <c r="U116" s="172">
        <f t="shared" si="77"/>
        <v>0</v>
      </c>
      <c r="V116" s="172">
        <f t="shared" si="77"/>
        <v>0</v>
      </c>
      <c r="W116" s="172">
        <f t="shared" si="77"/>
        <v>0</v>
      </c>
      <c r="X116" s="172">
        <f t="shared" si="77"/>
        <v>0</v>
      </c>
      <c r="Y116" s="172">
        <f t="shared" si="77"/>
        <v>0</v>
      </c>
      <c r="Z116" s="172">
        <f t="shared" si="77"/>
        <v>0</v>
      </c>
      <c r="AA116" s="172">
        <f t="shared" si="77"/>
        <v>0</v>
      </c>
      <c r="AB116" s="172">
        <f t="shared" si="77"/>
        <v>0</v>
      </c>
      <c r="AC116" s="172">
        <f t="shared" ref="AC116:AD116" si="78">SUM(AC106,AC114)</f>
        <v>0</v>
      </c>
      <c r="AD116" s="172">
        <f t="shared" si="78"/>
        <v>0</v>
      </c>
      <c r="AE116" s="172"/>
      <c r="AF116" s="172"/>
      <c r="AG116" s="172"/>
      <c r="AH116" s="172"/>
      <c r="AI116" s="172"/>
      <c r="AJ116" s="172"/>
      <c r="AK116" s="172"/>
      <c r="AL116" s="172"/>
    </row>
    <row r="117" spans="2:44" ht="15" customHeight="1"/>
    <row r="118" spans="2:44" ht="21">
      <c r="B118" s="166" t="s">
        <v>100</v>
      </c>
      <c r="D118" s="52"/>
      <c r="E118" s="53"/>
      <c r="F118" s="53"/>
      <c r="G118" s="53"/>
      <c r="H118" s="53"/>
      <c r="I118" s="53"/>
      <c r="J118" s="53"/>
      <c r="K118" s="53"/>
      <c r="L118" s="53"/>
      <c r="M118" s="53"/>
      <c r="N118" s="53"/>
      <c r="O118" s="53"/>
      <c r="P118" s="53"/>
      <c r="Q118" s="53"/>
      <c r="R118" s="53"/>
      <c r="S118" s="53"/>
      <c r="T118" s="53"/>
      <c r="U118" s="53"/>
      <c r="V118" s="53"/>
      <c r="W118" s="53"/>
      <c r="X118" s="53"/>
      <c r="Y118" s="53"/>
      <c r="Z118" s="53"/>
      <c r="AA118" s="53"/>
      <c r="AB118" s="53"/>
      <c r="AC118" s="53"/>
      <c r="AD118" s="53"/>
      <c r="AE118" s="53"/>
      <c r="AF118" s="53"/>
      <c r="AG118" s="53"/>
      <c r="AH118" s="53"/>
      <c r="AI118" s="53"/>
      <c r="AJ118" s="53"/>
      <c r="AK118" s="53"/>
      <c r="AL118" s="53"/>
      <c r="AM118" s="53"/>
      <c r="AN118" s="53"/>
      <c r="AO118" s="53"/>
      <c r="AP118" s="53"/>
      <c r="AQ118" s="53"/>
      <c r="AR118" s="53"/>
    </row>
    <row r="119" spans="2:44">
      <c r="B119" s="39" t="s">
        <v>153</v>
      </c>
      <c r="C119" s="174"/>
      <c r="D119" s="174"/>
      <c r="E119" s="53"/>
      <c r="F119" s="53"/>
      <c r="G119" s="53"/>
      <c r="H119" s="53"/>
      <c r="I119" s="53"/>
      <c r="J119" s="53"/>
      <c r="K119" s="53"/>
      <c r="L119" s="53"/>
      <c r="M119" s="53"/>
      <c r="N119" s="53"/>
      <c r="O119" s="53"/>
      <c r="P119" s="53"/>
      <c r="Q119" s="53"/>
      <c r="R119" s="53"/>
      <c r="S119" s="53"/>
      <c r="T119" s="53"/>
      <c r="U119" s="53"/>
      <c r="V119" s="53"/>
      <c r="W119" s="53"/>
      <c r="X119" s="53"/>
      <c r="Y119" s="53"/>
      <c r="Z119" s="53"/>
      <c r="AA119" s="53"/>
      <c r="AB119" s="53"/>
      <c r="AC119" s="53"/>
      <c r="AD119" s="53"/>
      <c r="AE119" s="53"/>
      <c r="AF119" s="53"/>
      <c r="AG119" s="53"/>
      <c r="AH119" s="53"/>
      <c r="AI119" s="53"/>
      <c r="AJ119" s="53"/>
      <c r="AK119" s="53"/>
      <c r="AL119" s="53"/>
      <c r="AM119" s="53"/>
      <c r="AN119" s="53"/>
      <c r="AO119" s="53"/>
      <c r="AP119" s="53"/>
    </row>
    <row r="120" spans="2:44" ht="15" customHeight="1">
      <c r="B120" s="150" t="s">
        <v>461</v>
      </c>
      <c r="C120" s="151" t="s">
        <v>10</v>
      </c>
      <c r="D120" s="156">
        <f t="shared" ref="D120:D125" si="79">SUM(J120:AL120)</f>
        <v>30000</v>
      </c>
      <c r="E120" s="152">
        <f>IF(AND(D5="ФАКТ",E5="ПРОГНОЗ"),'Параметры займа'!$E$20,0)</f>
        <v>0</v>
      </c>
      <c r="F120" s="152">
        <f>IF(AND(E5="ФАКТ",F5="ПРОГНОЗ"),'Параметры займа'!$E$20,0)</f>
        <v>0</v>
      </c>
      <c r="G120" s="152">
        <f>IF(AND(F5="ФАКТ",G5="ПРОГНОЗ"),'Параметры займа'!$E$20,0)</f>
        <v>0</v>
      </c>
      <c r="H120" s="152">
        <f>IF(AND(G5="ФАКТ",H5="ПРОГНОЗ"),'Параметры займа'!$E$20,0)</f>
        <v>0</v>
      </c>
      <c r="I120" s="152">
        <f>IF(AND(H5="ФАКТ",I5="ПРОГНОЗ"),'Параметры займа'!$E$20,0)</f>
        <v>0</v>
      </c>
      <c r="J120" s="152">
        <f>IF(AND(I5="ФАКТ",J5="ПРОГНОЗ"),'Параметры займа'!$E$20,0)</f>
        <v>30000</v>
      </c>
      <c r="K120" s="152">
        <f>IF(AND(J5="ФАКТ",K5="ПРОГНОЗ"),'Параметры займа'!$E$20,0)</f>
        <v>0</v>
      </c>
      <c r="L120" s="152">
        <f>IF(AND(K5="ФАКТ",L5="ПРОГНОЗ"),'Параметры займа'!$E$20,0)</f>
        <v>0</v>
      </c>
      <c r="M120" s="152">
        <f>IF(AND(L5="ФАКТ",M5="ПРОГНОЗ"),'Параметры займа'!$E$20,0)</f>
        <v>0</v>
      </c>
      <c r="N120" s="152">
        <f>IF(AND(M5="ФАКТ",N5="ПРОГНОЗ"),'Параметры займа'!$E$20,0)</f>
        <v>0</v>
      </c>
      <c r="O120" s="152">
        <f>IF(AND(N5="ФАКТ",O5="ПРОГНОЗ"),'Параметры займа'!$E$20,0)</f>
        <v>0</v>
      </c>
      <c r="P120" s="152">
        <f>IF(AND(O5="ФАКТ",P5="ПРОГНОЗ"),'Параметры займа'!$E$20,0)</f>
        <v>0</v>
      </c>
      <c r="Q120" s="152">
        <f>IF(AND(P5="ФАКТ",Q5="ПРОГНОЗ"),'Параметры займа'!$E$20,0)</f>
        <v>0</v>
      </c>
      <c r="R120" s="152">
        <f>IF(AND(Q5="ФАКТ",R5="ПРОГНОЗ"),'Параметры займа'!$E$20,0)</f>
        <v>0</v>
      </c>
      <c r="S120" s="152">
        <f>IF(AND(R5="ФАКТ",S5="ПРОГНОЗ"),'Параметры займа'!$E$20,0)</f>
        <v>0</v>
      </c>
      <c r="T120" s="152">
        <f>IF(AND(S5="ФАКТ",T5="ПРОГНОЗ"),'Параметры займа'!$E$20,0)</f>
        <v>0</v>
      </c>
      <c r="U120" s="152">
        <f>IF(AND(T5="ФАКТ",U5="ПРОГНОЗ"),'Параметры займа'!$E$20,0)</f>
        <v>0</v>
      </c>
      <c r="V120" s="152">
        <f>IF(AND(U5="ФАКТ",V5="ПРОГНОЗ"),'Параметры займа'!$E$20,0)</f>
        <v>0</v>
      </c>
      <c r="W120" s="152">
        <f>IF(AND(V5="ФАКТ",W5="ПРОГНОЗ"),'Параметры займа'!$E$20,0)</f>
        <v>0</v>
      </c>
      <c r="X120" s="152">
        <f>IF(AND(W5="ФАКТ",X5="ПРОГНОЗ"),'Параметры займа'!$E$20,0)</f>
        <v>0</v>
      </c>
      <c r="Y120" s="152">
        <f>IF(AND(X5="ФАКТ",Y5="ПРОГНОЗ"),'Параметры займа'!$E$20,0)</f>
        <v>0</v>
      </c>
      <c r="Z120" s="152">
        <f>IF(AND(Y5="ФАКТ",Z5="ПРОГНОЗ"),'Параметры займа'!$E$20,0)</f>
        <v>0</v>
      </c>
      <c r="AA120" s="152">
        <f>IF(AND(Z5="ФАКТ",AA5="ПРОГНОЗ"),'Параметры займа'!$E$20,0)</f>
        <v>0</v>
      </c>
      <c r="AB120" s="152">
        <f>IF(AND(AA5="ФАКТ",AB5="ПРОГНОЗ"),'Параметры займа'!$E$20,0)</f>
        <v>0</v>
      </c>
      <c r="AC120" s="152">
        <f>IF(AND(AB5="ФАКТ",AC5="ПРОГНОЗ"),'Параметры займа'!$E$20,0)</f>
        <v>0</v>
      </c>
      <c r="AD120" s="152">
        <f>IF(AND(AC5="ФАКТ",AD5="ПРОГНОЗ"),'Параметры займа'!$E$20,0)</f>
        <v>0</v>
      </c>
      <c r="AE120" s="152"/>
      <c r="AF120" s="152"/>
      <c r="AG120" s="152"/>
      <c r="AH120" s="152"/>
      <c r="AI120" s="152"/>
      <c r="AJ120" s="152"/>
      <c r="AK120" s="152"/>
      <c r="AL120" s="152"/>
    </row>
    <row r="121" spans="2:44" ht="15" customHeight="1">
      <c r="B121" s="150" t="s">
        <v>462</v>
      </c>
      <c r="C121" s="151" t="s">
        <v>10</v>
      </c>
      <c r="D121" s="156">
        <f t="shared" si="79"/>
        <v>0</v>
      </c>
      <c r="E121" s="28"/>
      <c r="F121" s="28"/>
      <c r="G121" s="28"/>
      <c r="H121" s="28"/>
      <c r="I121" s="28"/>
      <c r="J121" s="28"/>
      <c r="K121" s="28"/>
      <c r="L121" s="28"/>
      <c r="M121" s="28"/>
      <c r="N121" s="28"/>
      <c r="O121" s="28"/>
      <c r="P121" s="28"/>
      <c r="Q121" s="28"/>
      <c r="R121" s="28"/>
      <c r="S121" s="28"/>
      <c r="T121" s="28"/>
      <c r="U121" s="28"/>
      <c r="V121" s="28"/>
      <c r="W121" s="28"/>
      <c r="X121" s="28"/>
      <c r="Y121" s="28"/>
      <c r="Z121" s="28"/>
      <c r="AA121" s="28"/>
      <c r="AB121" s="28"/>
      <c r="AC121" s="28"/>
      <c r="AD121" s="28"/>
      <c r="AE121" s="28"/>
      <c r="AF121" s="28"/>
      <c r="AG121" s="28"/>
      <c r="AH121" s="28"/>
      <c r="AI121" s="28"/>
      <c r="AJ121" s="28"/>
      <c r="AK121" s="28"/>
      <c r="AL121" s="28"/>
    </row>
    <row r="122" spans="2:44" ht="15" customHeight="1">
      <c r="B122" s="150" t="s">
        <v>171</v>
      </c>
      <c r="C122" s="151" t="s">
        <v>10</v>
      </c>
      <c r="D122" s="156">
        <f t="shared" si="79"/>
        <v>0</v>
      </c>
      <c r="E122" s="28"/>
      <c r="F122" s="28"/>
      <c r="G122" s="28"/>
      <c r="H122" s="28"/>
      <c r="I122" s="28"/>
      <c r="J122" s="28"/>
      <c r="K122" s="28"/>
      <c r="L122" s="28"/>
      <c r="M122" s="28"/>
      <c r="N122" s="28"/>
      <c r="O122" s="28"/>
      <c r="P122" s="28"/>
      <c r="Q122" s="28"/>
      <c r="R122" s="28"/>
      <c r="S122" s="28"/>
      <c r="T122" s="28"/>
      <c r="U122" s="28"/>
      <c r="V122" s="28"/>
      <c r="W122" s="28"/>
      <c r="X122" s="28"/>
      <c r="Y122" s="28"/>
      <c r="Z122" s="28"/>
      <c r="AA122" s="28"/>
      <c r="AB122" s="28"/>
      <c r="AC122" s="28"/>
      <c r="AD122" s="28"/>
      <c r="AE122" s="28"/>
      <c r="AF122" s="28"/>
      <c r="AG122" s="28"/>
      <c r="AH122" s="28"/>
      <c r="AI122" s="28"/>
      <c r="AJ122" s="28"/>
      <c r="AK122" s="28"/>
      <c r="AL122" s="28"/>
    </row>
    <row r="123" spans="2:44" ht="15" customHeight="1">
      <c r="B123" s="150" t="s">
        <v>172</v>
      </c>
      <c r="C123" s="151" t="s">
        <v>10</v>
      </c>
      <c r="D123" s="156">
        <f t="shared" si="79"/>
        <v>0</v>
      </c>
      <c r="E123" s="28"/>
      <c r="F123" s="28"/>
      <c r="G123" s="28"/>
      <c r="H123" s="28"/>
      <c r="I123" s="28"/>
      <c r="J123" s="28"/>
      <c r="K123" s="28"/>
      <c r="L123" s="28"/>
      <c r="M123" s="28"/>
      <c r="N123" s="28"/>
      <c r="O123" s="28"/>
      <c r="P123" s="28"/>
      <c r="Q123" s="28"/>
      <c r="R123" s="28"/>
      <c r="S123" s="28"/>
      <c r="T123" s="28"/>
      <c r="U123" s="28"/>
      <c r="V123" s="28"/>
      <c r="W123" s="28"/>
      <c r="X123" s="28"/>
      <c r="Y123" s="28"/>
      <c r="Z123" s="28"/>
      <c r="AA123" s="28"/>
      <c r="AB123" s="28"/>
      <c r="AC123" s="28"/>
      <c r="AD123" s="28"/>
      <c r="AE123" s="28"/>
      <c r="AF123" s="28"/>
      <c r="AG123" s="28"/>
      <c r="AH123" s="28"/>
      <c r="AI123" s="28"/>
      <c r="AJ123" s="28"/>
      <c r="AK123" s="28"/>
      <c r="AL123" s="28"/>
    </row>
    <row r="124" spans="2:44" ht="15" customHeight="1">
      <c r="B124" s="150" t="s">
        <v>173</v>
      </c>
      <c r="C124" s="151" t="s">
        <v>10</v>
      </c>
      <c r="D124" s="156">
        <f t="shared" si="79"/>
        <v>0</v>
      </c>
      <c r="E124" s="28"/>
      <c r="F124" s="28"/>
      <c r="G124" s="28"/>
      <c r="H124" s="28"/>
      <c r="I124" s="28"/>
      <c r="J124" s="28"/>
      <c r="K124" s="28"/>
      <c r="L124" s="28"/>
      <c r="M124" s="28"/>
      <c r="N124" s="28"/>
      <c r="O124" s="28"/>
      <c r="P124" s="28"/>
      <c r="Q124" s="28"/>
      <c r="R124" s="28"/>
      <c r="S124" s="28"/>
      <c r="T124" s="28"/>
      <c r="U124" s="28"/>
      <c r="V124" s="28"/>
      <c r="W124" s="28"/>
      <c r="X124" s="28"/>
      <c r="Y124" s="28"/>
      <c r="Z124" s="28"/>
      <c r="AA124" s="28"/>
      <c r="AB124" s="28"/>
      <c r="AC124" s="28"/>
      <c r="AD124" s="28"/>
      <c r="AE124" s="28"/>
      <c r="AF124" s="28"/>
      <c r="AG124" s="28"/>
      <c r="AH124" s="28"/>
      <c r="AI124" s="28"/>
      <c r="AJ124" s="28"/>
      <c r="AK124" s="28"/>
      <c r="AL124" s="28"/>
    </row>
    <row r="125" spans="2:44" ht="15" customHeight="1">
      <c r="B125" s="150" t="s">
        <v>154</v>
      </c>
      <c r="C125" s="151" t="s">
        <v>10</v>
      </c>
      <c r="D125" s="156">
        <f t="shared" si="79"/>
        <v>0</v>
      </c>
      <c r="E125" s="28"/>
      <c r="F125" s="28"/>
      <c r="G125" s="28"/>
      <c r="H125" s="28"/>
      <c r="I125" s="28"/>
      <c r="J125" s="28"/>
      <c r="K125" s="28"/>
      <c r="L125" s="28"/>
      <c r="M125" s="28"/>
      <c r="N125" s="28"/>
      <c r="O125" s="28"/>
      <c r="P125" s="28"/>
      <c r="Q125" s="28"/>
      <c r="R125" s="28"/>
      <c r="S125" s="28"/>
      <c r="T125" s="28"/>
      <c r="U125" s="28"/>
      <c r="V125" s="28"/>
      <c r="W125" s="28"/>
      <c r="X125" s="28"/>
      <c r="Y125" s="28"/>
      <c r="Z125" s="28"/>
      <c r="AA125" s="28"/>
      <c r="AB125" s="28"/>
      <c r="AC125" s="28"/>
      <c r="AD125" s="28"/>
      <c r="AE125" s="28"/>
      <c r="AF125" s="28"/>
      <c r="AG125" s="28"/>
      <c r="AH125" s="28"/>
      <c r="AI125" s="28"/>
      <c r="AJ125" s="28"/>
      <c r="AK125" s="28"/>
      <c r="AL125" s="28"/>
    </row>
    <row r="126" spans="2:44" ht="15" customHeight="1">
      <c r="B126" s="169" t="s">
        <v>11</v>
      </c>
      <c r="C126" s="170" t="s">
        <v>10</v>
      </c>
      <c r="D126" s="172">
        <f t="shared" ref="D126" si="80">SUM(D120:D125)</f>
        <v>30000</v>
      </c>
      <c r="E126" s="157">
        <f>SUM(E120,E121,E122,E123,E124,E125)</f>
        <v>0</v>
      </c>
      <c r="F126" s="157">
        <f t="shared" ref="F126:AD126" si="81">SUM(F120,F121,F122,F123,F124,F125)</f>
        <v>0</v>
      </c>
      <c r="G126" s="157">
        <f t="shared" si="81"/>
        <v>0</v>
      </c>
      <c r="H126" s="157">
        <f t="shared" si="81"/>
        <v>0</v>
      </c>
      <c r="I126" s="157">
        <f t="shared" si="81"/>
        <v>0</v>
      </c>
      <c r="J126" s="157">
        <f t="shared" si="81"/>
        <v>30000</v>
      </c>
      <c r="K126" s="157">
        <f t="shared" si="81"/>
        <v>0</v>
      </c>
      <c r="L126" s="157">
        <f t="shared" si="81"/>
        <v>0</v>
      </c>
      <c r="M126" s="157">
        <f t="shared" si="81"/>
        <v>0</v>
      </c>
      <c r="N126" s="157">
        <f t="shared" si="81"/>
        <v>0</v>
      </c>
      <c r="O126" s="157">
        <f t="shared" si="81"/>
        <v>0</v>
      </c>
      <c r="P126" s="157">
        <f t="shared" si="81"/>
        <v>0</v>
      </c>
      <c r="Q126" s="157">
        <f t="shared" si="81"/>
        <v>0</v>
      </c>
      <c r="R126" s="157">
        <f t="shared" si="81"/>
        <v>0</v>
      </c>
      <c r="S126" s="157">
        <f t="shared" si="81"/>
        <v>0</v>
      </c>
      <c r="T126" s="157">
        <f t="shared" si="81"/>
        <v>0</v>
      </c>
      <c r="U126" s="157">
        <f t="shared" si="81"/>
        <v>0</v>
      </c>
      <c r="V126" s="157">
        <f t="shared" si="81"/>
        <v>0</v>
      </c>
      <c r="W126" s="157">
        <f t="shared" si="81"/>
        <v>0</v>
      </c>
      <c r="X126" s="157">
        <f t="shared" si="81"/>
        <v>0</v>
      </c>
      <c r="Y126" s="157">
        <f t="shared" si="81"/>
        <v>0</v>
      </c>
      <c r="Z126" s="157">
        <f t="shared" si="81"/>
        <v>0</v>
      </c>
      <c r="AA126" s="157">
        <f t="shared" si="81"/>
        <v>0</v>
      </c>
      <c r="AB126" s="157">
        <f t="shared" si="81"/>
        <v>0</v>
      </c>
      <c r="AC126" s="157">
        <f t="shared" si="81"/>
        <v>0</v>
      </c>
      <c r="AD126" s="157">
        <f t="shared" si="81"/>
        <v>0</v>
      </c>
      <c r="AE126" s="157"/>
      <c r="AF126" s="157"/>
      <c r="AG126" s="157"/>
      <c r="AH126" s="157"/>
      <c r="AI126" s="157"/>
      <c r="AJ126" s="157"/>
      <c r="AK126" s="157"/>
      <c r="AL126" s="157"/>
    </row>
    <row r="127" spans="2:44" ht="15" customHeight="1"/>
    <row r="128" spans="2:44">
      <c r="B128" s="39" t="s">
        <v>155</v>
      </c>
      <c r="C128" s="174"/>
      <c r="D128" s="174"/>
      <c r="E128" s="53"/>
      <c r="F128" s="53"/>
      <c r="G128" s="53"/>
      <c r="H128" s="53"/>
      <c r="I128" s="53"/>
      <c r="J128" s="53"/>
      <c r="K128" s="53"/>
      <c r="L128" s="53"/>
      <c r="M128" s="53"/>
      <c r="N128" s="53"/>
      <c r="O128" s="53"/>
      <c r="P128" s="53"/>
      <c r="Q128" s="53"/>
      <c r="R128" s="53"/>
      <c r="S128" s="53"/>
      <c r="T128" s="53"/>
      <c r="U128" s="53"/>
      <c r="V128" s="53"/>
      <c r="W128" s="53"/>
      <c r="X128" s="53"/>
      <c r="Y128" s="53"/>
      <c r="Z128" s="53"/>
      <c r="AA128" s="53"/>
      <c r="AB128" s="53"/>
      <c r="AC128" s="53"/>
      <c r="AD128" s="53"/>
      <c r="AE128" s="53"/>
      <c r="AF128" s="53"/>
      <c r="AG128" s="53"/>
      <c r="AH128" s="53"/>
      <c r="AI128" s="53"/>
      <c r="AJ128" s="53"/>
      <c r="AK128" s="53"/>
      <c r="AL128" s="53"/>
      <c r="AM128" s="53"/>
      <c r="AN128" s="53"/>
      <c r="AO128" s="53"/>
      <c r="AP128" s="53"/>
    </row>
    <row r="129" spans="2:38" ht="15" customHeight="1">
      <c r="B129" s="150" t="s">
        <v>463</v>
      </c>
      <c r="C129" s="151" t="s">
        <v>10</v>
      </c>
      <c r="D129" s="156">
        <f>SUM(J129:AL129)</f>
        <v>-30000</v>
      </c>
      <c r="E129" s="152">
        <f>-SUMIF('Параметры займа'!$R$31:$R$59,'Квартальная отчетность'!E$7,'Параметры займа'!$S$31:$S$59)</f>
        <v>0</v>
      </c>
      <c r="F129" s="152">
        <f>-SUMIF('Параметры займа'!$R$31:$R$59,'Квартальная отчетность'!F$7,'Параметры займа'!$S$31:$S$59)</f>
        <v>0</v>
      </c>
      <c r="G129" s="152">
        <f>-SUMIF('Параметры займа'!$R$31:$R$59,'Квартальная отчетность'!G$7,'Параметры займа'!$S$31:$S$59)</f>
        <v>0</v>
      </c>
      <c r="H129" s="152">
        <f>-SUMIF('Параметры займа'!$R$31:$R$59,'Квартальная отчетность'!H$7,'Параметры займа'!$S$31:$S$59)</f>
        <v>0</v>
      </c>
      <c r="I129" s="152">
        <f>-SUMIF('Параметры займа'!$R$31:$R$59,'Квартальная отчетность'!I$7,'Параметры займа'!$S$31:$S$59)</f>
        <v>0</v>
      </c>
      <c r="J129" s="152">
        <f>-SUMIF('Параметры займа'!$R$31:$R$59,'Квартальная отчетность'!J$7,'Параметры займа'!$S$31:$S$59)</f>
        <v>0</v>
      </c>
      <c r="K129" s="152">
        <f>-SUMIF('Параметры займа'!$R$31:$R$59,'Квартальная отчетность'!K$7,'Параметры займа'!$S$31:$S$59)</f>
        <v>0</v>
      </c>
      <c r="L129" s="152">
        <f>-SUMIF('Параметры займа'!$R$31:$R$59,'Квартальная отчетность'!L$7,'Параметры займа'!$S$31:$S$59)</f>
        <v>0</v>
      </c>
      <c r="M129" s="152">
        <f>-SUMIF('Параметры займа'!$R$31:$R$59,'Квартальная отчетность'!M$7,'Параметры займа'!$S$31:$S$59)</f>
        <v>0</v>
      </c>
      <c r="N129" s="152">
        <f>-SUMIF('Параметры займа'!$R$31:$R$59,'Квартальная отчетность'!N$7,'Параметры займа'!$S$31:$S$59)</f>
        <v>0</v>
      </c>
      <c r="O129" s="152">
        <f>-SUMIF('Параметры займа'!$R$31:$R$59,'Квартальная отчетность'!O$7,'Параметры займа'!$S$31:$S$59)</f>
        <v>0</v>
      </c>
      <c r="P129" s="152">
        <f>-SUMIF('Параметры займа'!$R$31:$R$59,'Квартальная отчетность'!P$7,'Параметры займа'!$S$31:$S$59)</f>
        <v>0</v>
      </c>
      <c r="Q129" s="152">
        <f>-SUMIF('Параметры займа'!$R$31:$R$59,'Квартальная отчетность'!Q$7,'Параметры займа'!$S$31:$S$59)</f>
        <v>0</v>
      </c>
      <c r="R129" s="152">
        <f>-SUMIF('Параметры займа'!$R$31:$R$59,'Квартальная отчетность'!R$7,'Параметры займа'!$S$31:$S$59)</f>
        <v>0</v>
      </c>
      <c r="S129" s="152">
        <f>-SUMIF('Параметры займа'!$R$31:$R$59,'Квартальная отчетность'!S$7,'Параметры займа'!$S$31:$S$59)</f>
        <v>-2500</v>
      </c>
      <c r="T129" s="152">
        <f>-SUMIF('Параметры займа'!$R$31:$R$59,'Квартальная отчетность'!T$7,'Параметры займа'!$S$31:$S$59)</f>
        <v>-2500</v>
      </c>
      <c r="U129" s="152">
        <f>-SUMIF('Параметры займа'!$R$31:$R$59,'Квартальная отчетность'!U$7,'Параметры займа'!$S$31:$S$59)</f>
        <v>-2500</v>
      </c>
      <c r="V129" s="152">
        <v>-2500</v>
      </c>
      <c r="W129" s="152">
        <v>-2500</v>
      </c>
      <c r="X129" s="152">
        <f>-SUMIF('Параметры займа'!$R$31:$R$59,'Квартальная отчетность'!X$7,'Параметры займа'!$S$31:$S$59)</f>
        <v>-2500</v>
      </c>
      <c r="Y129" s="152">
        <f>-SUMIF('Параметры займа'!$R$31:$R$59,'Квартальная отчетность'!Y$7,'Параметры займа'!$S$31:$S$59)</f>
        <v>-2500</v>
      </c>
      <c r="Z129" s="152">
        <v>-2500</v>
      </c>
      <c r="AA129" s="152">
        <v>-2500</v>
      </c>
      <c r="AB129" s="152">
        <f>-SUMIF('Параметры займа'!$R$31:$R$59,'Квартальная отчетность'!AB$7,'Параметры займа'!$S$31:$S$59)</f>
        <v>-2500</v>
      </c>
      <c r="AC129" s="152">
        <f>-SUMIF('Параметры займа'!$R$31:$R$59,'Квартальная отчетность'!AC$7,'Параметры займа'!$S$31:$S$59)</f>
        <v>-2500</v>
      </c>
      <c r="AD129" s="152">
        <f>-SUMIF('Параметры займа'!$R$31:$R$59,'Квартальная отчетность'!AD$7,'Параметры займа'!$S$31:$S$59)</f>
        <v>-2500</v>
      </c>
      <c r="AE129" s="152"/>
      <c r="AF129" s="152"/>
      <c r="AG129" s="152"/>
      <c r="AH129" s="152"/>
      <c r="AI129" s="152"/>
      <c r="AJ129" s="152"/>
      <c r="AK129" s="152"/>
      <c r="AL129" s="152"/>
    </row>
    <row r="130" spans="2:38" ht="15" customHeight="1">
      <c r="B130" s="150" t="s">
        <v>464</v>
      </c>
      <c r="C130" s="151" t="s">
        <v>10</v>
      </c>
      <c r="D130" s="156">
        <f>SUM(J130:AL130)</f>
        <v>0</v>
      </c>
      <c r="E130" s="28"/>
      <c r="F130" s="28"/>
      <c r="G130" s="28"/>
      <c r="H130" s="28"/>
      <c r="I130" s="28"/>
      <c r="J130" s="28"/>
      <c r="K130" s="28"/>
      <c r="L130" s="28"/>
      <c r="M130" s="28"/>
      <c r="N130" s="28"/>
      <c r="O130" s="28"/>
      <c r="P130" s="28"/>
      <c r="Q130" s="28"/>
      <c r="R130" s="28"/>
      <c r="S130" s="28"/>
      <c r="T130" s="28"/>
      <c r="U130" s="28"/>
      <c r="V130" s="28"/>
      <c r="W130" s="28"/>
      <c r="X130" s="28"/>
      <c r="Y130" s="28"/>
      <c r="Z130" s="28"/>
      <c r="AA130" s="28"/>
      <c r="AB130" s="28"/>
      <c r="AC130" s="28"/>
      <c r="AD130" s="28"/>
      <c r="AE130" s="28"/>
      <c r="AF130" s="28"/>
      <c r="AG130" s="28"/>
      <c r="AH130" s="28"/>
      <c r="AI130" s="28"/>
      <c r="AJ130" s="28"/>
      <c r="AK130" s="28"/>
      <c r="AL130" s="28"/>
    </row>
    <row r="131" spans="2:38" ht="15" customHeight="1">
      <c r="B131" s="150" t="s">
        <v>174</v>
      </c>
      <c r="C131" s="151" t="s">
        <v>10</v>
      </c>
      <c r="D131" s="156">
        <f>SUM(J131:AL131)</f>
        <v>0</v>
      </c>
      <c r="E131" s="28"/>
      <c r="F131" s="28"/>
      <c r="G131" s="28"/>
      <c r="H131" s="28"/>
      <c r="I131" s="28"/>
      <c r="J131" s="28"/>
      <c r="K131" s="28"/>
      <c r="L131" s="28"/>
      <c r="M131" s="28"/>
      <c r="N131" s="28"/>
      <c r="O131" s="28"/>
      <c r="P131" s="28"/>
      <c r="Q131" s="28"/>
      <c r="R131" s="28"/>
      <c r="S131" s="28"/>
      <c r="T131" s="28"/>
      <c r="U131" s="28"/>
      <c r="V131" s="28"/>
      <c r="W131" s="28"/>
      <c r="X131" s="28"/>
      <c r="Y131" s="28"/>
      <c r="Z131" s="28"/>
      <c r="AA131" s="28"/>
      <c r="AB131" s="28"/>
      <c r="AC131" s="28"/>
      <c r="AD131" s="28"/>
      <c r="AE131" s="28"/>
      <c r="AF131" s="28"/>
      <c r="AG131" s="28"/>
      <c r="AH131" s="28"/>
      <c r="AI131" s="28"/>
      <c r="AJ131" s="28"/>
      <c r="AK131" s="28"/>
      <c r="AL131" s="28"/>
    </row>
    <row r="132" spans="2:38" ht="15" customHeight="1">
      <c r="B132" s="150" t="s">
        <v>176</v>
      </c>
      <c r="C132" s="151" t="s">
        <v>10</v>
      </c>
      <c r="D132" s="156">
        <f>SUM(J132:AL132)</f>
        <v>0</v>
      </c>
      <c r="E132" s="28"/>
      <c r="F132" s="28"/>
      <c r="G132" s="28"/>
      <c r="H132" s="28"/>
      <c r="I132" s="28"/>
      <c r="J132" s="28"/>
      <c r="K132" s="28"/>
      <c r="L132" s="28"/>
      <c r="M132" s="28"/>
      <c r="N132" s="28"/>
      <c r="O132" s="28"/>
      <c r="P132" s="28"/>
      <c r="Q132" s="28"/>
      <c r="R132" s="28"/>
      <c r="S132" s="28"/>
      <c r="T132" s="28"/>
      <c r="U132" s="28"/>
      <c r="V132" s="28"/>
      <c r="W132" s="28"/>
      <c r="X132" s="28"/>
      <c r="Y132" s="28"/>
      <c r="Z132" s="28"/>
      <c r="AA132" s="28"/>
      <c r="AB132" s="28"/>
      <c r="AC132" s="28"/>
      <c r="AD132" s="28"/>
      <c r="AE132" s="28"/>
      <c r="AF132" s="28"/>
      <c r="AG132" s="28"/>
      <c r="AH132" s="28"/>
      <c r="AI132" s="28"/>
      <c r="AJ132" s="28"/>
      <c r="AK132" s="28"/>
      <c r="AL132" s="28"/>
    </row>
    <row r="133" spans="2:38" ht="15" customHeight="1">
      <c r="B133" s="169" t="s">
        <v>11</v>
      </c>
      <c r="C133" s="170" t="s">
        <v>10</v>
      </c>
      <c r="D133" s="172">
        <f t="shared" ref="D133" si="82">SUM(D129:D132)</f>
        <v>-30000</v>
      </c>
      <c r="E133" s="157">
        <f>SUM(E129,E130,E131,E132)</f>
        <v>0</v>
      </c>
      <c r="F133" s="157">
        <f t="shared" ref="F133:AD133" si="83">SUM(F129,F130,F131,F132)</f>
        <v>0</v>
      </c>
      <c r="G133" s="157">
        <f t="shared" si="83"/>
        <v>0</v>
      </c>
      <c r="H133" s="157">
        <f t="shared" si="83"/>
        <v>0</v>
      </c>
      <c r="I133" s="157">
        <f t="shared" si="83"/>
        <v>0</v>
      </c>
      <c r="J133" s="157">
        <f t="shared" si="83"/>
        <v>0</v>
      </c>
      <c r="K133" s="157">
        <f t="shared" si="83"/>
        <v>0</v>
      </c>
      <c r="L133" s="157">
        <f t="shared" si="83"/>
        <v>0</v>
      </c>
      <c r="M133" s="157">
        <f t="shared" si="83"/>
        <v>0</v>
      </c>
      <c r="N133" s="157">
        <f t="shared" si="83"/>
        <v>0</v>
      </c>
      <c r="O133" s="157">
        <f t="shared" si="83"/>
        <v>0</v>
      </c>
      <c r="P133" s="157">
        <f t="shared" si="83"/>
        <v>0</v>
      </c>
      <c r="Q133" s="157">
        <f t="shared" si="83"/>
        <v>0</v>
      </c>
      <c r="R133" s="157">
        <f t="shared" si="83"/>
        <v>0</v>
      </c>
      <c r="S133" s="157">
        <f t="shared" si="83"/>
        <v>-2500</v>
      </c>
      <c r="T133" s="157">
        <f t="shared" si="83"/>
        <v>-2500</v>
      </c>
      <c r="U133" s="157">
        <f t="shared" si="83"/>
        <v>-2500</v>
      </c>
      <c r="V133" s="157">
        <f t="shared" si="83"/>
        <v>-2500</v>
      </c>
      <c r="W133" s="157">
        <f t="shared" si="83"/>
        <v>-2500</v>
      </c>
      <c r="X133" s="157">
        <f t="shared" si="83"/>
        <v>-2500</v>
      </c>
      <c r="Y133" s="157">
        <f t="shared" si="83"/>
        <v>-2500</v>
      </c>
      <c r="Z133" s="157">
        <f t="shared" si="83"/>
        <v>-2500</v>
      </c>
      <c r="AA133" s="157">
        <f t="shared" si="83"/>
        <v>-2500</v>
      </c>
      <c r="AB133" s="157">
        <f t="shared" si="83"/>
        <v>-2500</v>
      </c>
      <c r="AC133" s="157">
        <f t="shared" si="83"/>
        <v>-2500</v>
      </c>
      <c r="AD133" s="157">
        <f t="shared" si="83"/>
        <v>-2500</v>
      </c>
      <c r="AE133" s="157"/>
      <c r="AF133" s="157"/>
      <c r="AG133" s="157"/>
      <c r="AH133" s="157"/>
      <c r="AI133" s="157"/>
      <c r="AJ133" s="157"/>
      <c r="AK133" s="157"/>
      <c r="AL133" s="157"/>
    </row>
    <row r="134" spans="2:38" ht="15" customHeight="1"/>
    <row r="135" spans="2:38" ht="15" customHeight="1">
      <c r="B135" s="176" t="s">
        <v>103</v>
      </c>
      <c r="C135" s="177" t="s">
        <v>10</v>
      </c>
      <c r="D135" s="172">
        <f t="shared" ref="D135:AD135" si="84">SUM(D126,D133)</f>
        <v>0</v>
      </c>
      <c r="E135" s="172">
        <f t="shared" si="84"/>
        <v>0</v>
      </c>
      <c r="F135" s="172">
        <f t="shared" si="84"/>
        <v>0</v>
      </c>
      <c r="G135" s="172">
        <f t="shared" si="84"/>
        <v>0</v>
      </c>
      <c r="H135" s="172">
        <f t="shared" si="84"/>
        <v>0</v>
      </c>
      <c r="I135" s="172">
        <f t="shared" si="84"/>
        <v>0</v>
      </c>
      <c r="J135" s="172">
        <f>SUM(J126,J133)</f>
        <v>30000</v>
      </c>
      <c r="K135" s="172">
        <f t="shared" si="84"/>
        <v>0</v>
      </c>
      <c r="L135" s="172">
        <f t="shared" si="84"/>
        <v>0</v>
      </c>
      <c r="M135" s="172">
        <f t="shared" si="84"/>
        <v>0</v>
      </c>
      <c r="N135" s="172">
        <f t="shared" si="84"/>
        <v>0</v>
      </c>
      <c r="O135" s="172">
        <f t="shared" si="84"/>
        <v>0</v>
      </c>
      <c r="P135" s="172">
        <f t="shared" si="84"/>
        <v>0</v>
      </c>
      <c r="Q135" s="172">
        <f t="shared" si="84"/>
        <v>0</v>
      </c>
      <c r="R135" s="172">
        <f t="shared" si="84"/>
        <v>0</v>
      </c>
      <c r="S135" s="172">
        <f t="shared" si="84"/>
        <v>-2500</v>
      </c>
      <c r="T135" s="172">
        <f t="shared" si="84"/>
        <v>-2500</v>
      </c>
      <c r="U135" s="172">
        <f t="shared" si="84"/>
        <v>-2500</v>
      </c>
      <c r="V135" s="172">
        <f t="shared" si="84"/>
        <v>-2500</v>
      </c>
      <c r="W135" s="172">
        <f t="shared" si="84"/>
        <v>-2500</v>
      </c>
      <c r="X135" s="172">
        <f t="shared" si="84"/>
        <v>-2500</v>
      </c>
      <c r="Y135" s="172">
        <f t="shared" si="84"/>
        <v>-2500</v>
      </c>
      <c r="Z135" s="172">
        <f t="shared" si="84"/>
        <v>-2500</v>
      </c>
      <c r="AA135" s="172">
        <f t="shared" si="84"/>
        <v>-2500</v>
      </c>
      <c r="AB135" s="172">
        <f t="shared" si="84"/>
        <v>-2500</v>
      </c>
      <c r="AC135" s="172">
        <f t="shared" si="84"/>
        <v>-2500</v>
      </c>
      <c r="AD135" s="172">
        <f t="shared" si="84"/>
        <v>-2500</v>
      </c>
      <c r="AE135" s="172"/>
      <c r="AF135" s="172"/>
      <c r="AG135" s="172"/>
      <c r="AH135" s="172"/>
      <c r="AI135" s="172"/>
      <c r="AJ135" s="172"/>
      <c r="AK135" s="172"/>
      <c r="AL135" s="172"/>
    </row>
    <row r="136" spans="2:38" ht="15" customHeight="1"/>
    <row r="137" spans="2:38" ht="15" customHeight="1">
      <c r="B137" s="166" t="s">
        <v>104</v>
      </c>
    </row>
    <row r="138" spans="2:38" ht="15" customHeight="1">
      <c r="B138" s="150" t="s">
        <v>106</v>
      </c>
      <c r="C138" s="151" t="s">
        <v>10</v>
      </c>
      <c r="D138" s="156">
        <f>J138</f>
        <v>5250.4000000000087</v>
      </c>
      <c r="E138" s="163">
        <v>4000</v>
      </c>
      <c r="F138" s="163">
        <f t="shared" ref="F138:I138" si="85">E140</f>
        <v>3196.4000000000015</v>
      </c>
      <c r="G138" s="163">
        <f t="shared" si="85"/>
        <v>3495.8000000000029</v>
      </c>
      <c r="H138" s="163">
        <f t="shared" si="85"/>
        <v>3186.1000000000058</v>
      </c>
      <c r="I138" s="163">
        <f t="shared" si="85"/>
        <v>3422.4000000000087</v>
      </c>
      <c r="J138" s="163">
        <f>I140</f>
        <v>5250.4000000000087</v>
      </c>
      <c r="K138" s="152">
        <f>J140</f>
        <v>159.40000000000873</v>
      </c>
      <c r="L138" s="152">
        <f t="shared" ref="L138:AD138" si="86">K140</f>
        <v>2472.0000000000073</v>
      </c>
      <c r="M138" s="152">
        <f t="shared" si="86"/>
        <v>7199.6000000000058</v>
      </c>
      <c r="N138" s="152">
        <f t="shared" si="86"/>
        <v>11886.200000000004</v>
      </c>
      <c r="O138" s="152">
        <f t="shared" si="86"/>
        <v>16572.800000000003</v>
      </c>
      <c r="P138" s="152">
        <f t="shared" si="86"/>
        <v>21837.430000000004</v>
      </c>
      <c r="Q138" s="152">
        <f t="shared" si="86"/>
        <v>27102.060000000005</v>
      </c>
      <c r="R138" s="152">
        <f t="shared" si="86"/>
        <v>32902.19</v>
      </c>
      <c r="S138" s="152">
        <f t="shared" si="86"/>
        <v>38703.320000000007</v>
      </c>
      <c r="T138" s="152">
        <f t="shared" si="86"/>
        <v>42444.950000000012</v>
      </c>
      <c r="U138" s="152">
        <f t="shared" si="86"/>
        <v>46194.580000000016</v>
      </c>
      <c r="V138" s="152">
        <f t="shared" si="86"/>
        <v>50218.910000000018</v>
      </c>
      <c r="W138" s="152">
        <f t="shared" si="86"/>
        <v>54867.340000000018</v>
      </c>
      <c r="X138" s="152">
        <f t="shared" si="86"/>
        <v>60287.770000000019</v>
      </c>
      <c r="Y138" s="152">
        <f t="shared" si="86"/>
        <v>66785.650000000023</v>
      </c>
      <c r="Z138" s="152">
        <f t="shared" si="86"/>
        <v>75109.780000000028</v>
      </c>
      <c r="AA138" s="152">
        <f t="shared" si="86"/>
        <v>83444.910000000033</v>
      </c>
      <c r="AB138" s="152">
        <f t="shared" si="86"/>
        <v>91787.040000000037</v>
      </c>
      <c r="AC138" s="152">
        <f t="shared" si="86"/>
        <v>100140.17000000004</v>
      </c>
      <c r="AD138" s="152">
        <f t="shared" si="86"/>
        <v>108503.30000000005</v>
      </c>
      <c r="AE138" s="152"/>
      <c r="AF138" s="152"/>
      <c r="AG138" s="152"/>
      <c r="AH138" s="152"/>
      <c r="AI138" s="152"/>
      <c r="AJ138" s="152"/>
      <c r="AK138" s="152"/>
      <c r="AL138" s="152"/>
    </row>
    <row r="139" spans="2:38" ht="15" customHeight="1">
      <c r="B139" s="150" t="s">
        <v>105</v>
      </c>
      <c r="C139" s="151" t="s">
        <v>10</v>
      </c>
      <c r="D139" s="156">
        <f>SUM(J139:AL139)</f>
        <v>111627.03000000003</v>
      </c>
      <c r="E139" s="152">
        <f t="shared" ref="E139:I139" si="87">SUM(E97,E116,E135)</f>
        <v>-803.59999999999854</v>
      </c>
      <c r="F139" s="152">
        <f t="shared" si="87"/>
        <v>299.40000000000146</v>
      </c>
      <c r="G139" s="152">
        <f t="shared" si="87"/>
        <v>-309.69999999999709</v>
      </c>
      <c r="H139" s="152">
        <f t="shared" si="87"/>
        <v>236.30000000000291</v>
      </c>
      <c r="I139" s="152">
        <f t="shared" si="87"/>
        <v>1828</v>
      </c>
      <c r="J139" s="152">
        <f>SUM(J97,J116,J135)</f>
        <v>-5091</v>
      </c>
      <c r="K139" s="152">
        <f t="shared" ref="K139:AD139" si="88">SUM(K97,K116,K135)</f>
        <v>2312.5999999999985</v>
      </c>
      <c r="L139" s="152">
        <f t="shared" si="88"/>
        <v>4727.5999999999985</v>
      </c>
      <c r="M139" s="152">
        <f t="shared" si="88"/>
        <v>4686.5999999999985</v>
      </c>
      <c r="N139" s="152">
        <f t="shared" si="88"/>
        <v>4686.5999999999985</v>
      </c>
      <c r="O139" s="152">
        <f t="shared" si="88"/>
        <v>5264.630000000001</v>
      </c>
      <c r="P139" s="152">
        <f t="shared" si="88"/>
        <v>5264.630000000001</v>
      </c>
      <c r="Q139" s="152">
        <f t="shared" si="88"/>
        <v>5800.130000000001</v>
      </c>
      <c r="R139" s="152">
        <f t="shared" si="88"/>
        <v>5801.130000000001</v>
      </c>
      <c r="S139" s="152">
        <f t="shared" si="88"/>
        <v>3741.630000000001</v>
      </c>
      <c r="T139" s="152">
        <f t="shared" si="88"/>
        <v>3749.630000000001</v>
      </c>
      <c r="U139" s="152">
        <f t="shared" si="88"/>
        <v>4024.3300000000017</v>
      </c>
      <c r="V139" s="152">
        <f t="shared" si="88"/>
        <v>4648.43</v>
      </c>
      <c r="W139" s="152">
        <f t="shared" si="88"/>
        <v>5420.43</v>
      </c>
      <c r="X139" s="152">
        <f t="shared" si="88"/>
        <v>6497.8799999999974</v>
      </c>
      <c r="Y139" s="152">
        <f t="shared" si="88"/>
        <v>8324.1300000000047</v>
      </c>
      <c r="Z139" s="152">
        <f t="shared" si="88"/>
        <v>8335.1300000000047</v>
      </c>
      <c r="AA139" s="152">
        <f t="shared" si="88"/>
        <v>8342.1300000000047</v>
      </c>
      <c r="AB139" s="152">
        <f t="shared" si="88"/>
        <v>8353.1300000000047</v>
      </c>
      <c r="AC139" s="152">
        <f t="shared" si="88"/>
        <v>8363.1300000000047</v>
      </c>
      <c r="AD139" s="152">
        <f t="shared" si="88"/>
        <v>8374.1300000000047</v>
      </c>
      <c r="AE139" s="152"/>
      <c r="AF139" s="152"/>
      <c r="AG139" s="152"/>
      <c r="AH139" s="152"/>
      <c r="AI139" s="152"/>
      <c r="AJ139" s="152"/>
      <c r="AK139" s="152"/>
      <c r="AL139" s="152"/>
    </row>
    <row r="140" spans="2:38" ht="15" customHeight="1">
      <c r="B140" s="169" t="s">
        <v>107</v>
      </c>
      <c r="C140" s="170" t="s">
        <v>10</v>
      </c>
      <c r="D140" s="172">
        <f>SUM(D138:D139)</f>
        <v>116877.43000000004</v>
      </c>
      <c r="E140" s="157">
        <f>SUM(E138,E139)</f>
        <v>3196.4000000000015</v>
      </c>
      <c r="F140" s="157">
        <f t="shared" ref="F140:AD140" si="89">SUM(F138,F139)</f>
        <v>3495.8000000000029</v>
      </c>
      <c r="G140" s="157">
        <f t="shared" si="89"/>
        <v>3186.1000000000058</v>
      </c>
      <c r="H140" s="157">
        <f t="shared" si="89"/>
        <v>3422.4000000000087</v>
      </c>
      <c r="I140" s="157">
        <f t="shared" si="89"/>
        <v>5250.4000000000087</v>
      </c>
      <c r="J140" s="157">
        <f t="shared" si="89"/>
        <v>159.40000000000873</v>
      </c>
      <c r="K140" s="157">
        <f>SUM(K138,K139)</f>
        <v>2472.0000000000073</v>
      </c>
      <c r="L140" s="157">
        <f t="shared" si="89"/>
        <v>7199.6000000000058</v>
      </c>
      <c r="M140" s="157">
        <f t="shared" si="89"/>
        <v>11886.200000000004</v>
      </c>
      <c r="N140" s="157">
        <f>SUM(N138,N139)</f>
        <v>16572.800000000003</v>
      </c>
      <c r="O140" s="157">
        <f t="shared" si="89"/>
        <v>21837.430000000004</v>
      </c>
      <c r="P140" s="157">
        <f t="shared" si="89"/>
        <v>27102.060000000005</v>
      </c>
      <c r="Q140" s="157">
        <f t="shared" si="89"/>
        <v>32902.19</v>
      </c>
      <c r="R140" s="157">
        <f t="shared" si="89"/>
        <v>38703.320000000007</v>
      </c>
      <c r="S140" s="157">
        <f t="shared" si="89"/>
        <v>42444.950000000012</v>
      </c>
      <c r="T140" s="157">
        <f t="shared" si="89"/>
        <v>46194.580000000016</v>
      </c>
      <c r="U140" s="157">
        <f t="shared" si="89"/>
        <v>50218.910000000018</v>
      </c>
      <c r="V140" s="157">
        <f t="shared" si="89"/>
        <v>54867.340000000018</v>
      </c>
      <c r="W140" s="157">
        <f t="shared" si="89"/>
        <v>60287.770000000019</v>
      </c>
      <c r="X140" s="157">
        <f t="shared" si="89"/>
        <v>66785.650000000023</v>
      </c>
      <c r="Y140" s="157">
        <f t="shared" si="89"/>
        <v>75109.780000000028</v>
      </c>
      <c r="Z140" s="157">
        <f t="shared" si="89"/>
        <v>83444.910000000033</v>
      </c>
      <c r="AA140" s="157">
        <f t="shared" si="89"/>
        <v>91787.040000000037</v>
      </c>
      <c r="AB140" s="157">
        <f t="shared" si="89"/>
        <v>100140.17000000004</v>
      </c>
      <c r="AC140" s="157">
        <f t="shared" si="89"/>
        <v>108503.30000000005</v>
      </c>
      <c r="AD140" s="157">
        <f t="shared" si="89"/>
        <v>116877.43000000005</v>
      </c>
      <c r="AE140" s="157"/>
      <c r="AF140" s="157"/>
      <c r="AG140" s="157"/>
      <c r="AH140" s="157"/>
      <c r="AI140" s="157"/>
      <c r="AJ140" s="157"/>
      <c r="AK140" s="157"/>
      <c r="AL140" s="157"/>
    </row>
    <row r="141" spans="2:38" ht="15" customHeight="1"/>
    <row r="142" spans="2:38" ht="15" customHeight="1">
      <c r="B142" s="309" t="s">
        <v>418</v>
      </c>
      <c r="C142" s="310"/>
      <c r="D142" s="32" t="str">
        <f ca="1">IFERROR(IF(ROUND(MIN(OFFSET(J140,,,,MAX(SUM($J$12:$AL$12),1))),2)&lt;0,"Q","R"),"Q")</f>
        <v>R</v>
      </c>
    </row>
    <row r="143" spans="2:38" ht="15" customHeight="1">
      <c r="B143" s="309" t="s">
        <v>421</v>
      </c>
      <c r="C143" s="310"/>
      <c r="D143" s="32" t="str">
        <f>IFERROR(IF(ROUND(MIN(J140:AL140),2)&lt;0,"Q","R"),"Q")</f>
        <v>R</v>
      </c>
    </row>
    <row r="144" spans="2:38" ht="15" customHeight="1"/>
    <row r="145" spans="2:44" ht="21">
      <c r="B145" s="166" t="s">
        <v>441</v>
      </c>
      <c r="D145" s="52"/>
      <c r="E145" s="53"/>
      <c r="F145" s="53"/>
      <c r="G145" s="53"/>
      <c r="H145" s="53"/>
      <c r="I145" s="53"/>
      <c r="J145" s="53"/>
      <c r="K145" s="53"/>
      <c r="L145" s="53"/>
      <c r="M145" s="53"/>
      <c r="N145" s="53"/>
      <c r="O145" s="53"/>
      <c r="P145" s="53"/>
      <c r="Q145" s="53"/>
      <c r="R145" s="53"/>
      <c r="S145" s="53"/>
      <c r="T145" s="53"/>
      <c r="U145" s="53"/>
      <c r="V145" s="53"/>
      <c r="W145" s="53"/>
      <c r="X145" s="53"/>
      <c r="Y145" s="53"/>
      <c r="Z145" s="53"/>
      <c r="AA145" s="53"/>
      <c r="AB145" s="53"/>
      <c r="AC145" s="53"/>
      <c r="AD145" s="53"/>
      <c r="AE145" s="53"/>
      <c r="AF145" s="53"/>
      <c r="AG145" s="53"/>
      <c r="AH145" s="53"/>
      <c r="AI145" s="53"/>
      <c r="AJ145" s="53"/>
      <c r="AK145" s="53"/>
      <c r="AL145" s="53"/>
      <c r="AM145" s="53"/>
      <c r="AN145" s="53"/>
      <c r="AO145" s="53"/>
      <c r="AP145" s="53"/>
      <c r="AQ145" s="53"/>
      <c r="AR145" s="53"/>
    </row>
    <row r="146" spans="2:44" ht="15" customHeight="1">
      <c r="B146" s="150" t="s">
        <v>442</v>
      </c>
      <c r="C146" s="151" t="s">
        <v>10</v>
      </c>
      <c r="D146" s="156">
        <f>SUM(J146:AL146)</f>
        <v>-42642.100000000006</v>
      </c>
      <c r="E146" s="152">
        <f>SUM(E147:E152)</f>
        <v>-713.78800000000001</v>
      </c>
      <c r="F146" s="152">
        <f t="shared" ref="F146:AD146" si="90">SUM(F147:F152)</f>
        <v>-730.94800000000009</v>
      </c>
      <c r="G146" s="152">
        <f t="shared" si="90"/>
        <v>-1432.451</v>
      </c>
      <c r="H146" s="152">
        <f t="shared" si="90"/>
        <v>-481.041</v>
      </c>
      <c r="I146" s="152">
        <f t="shared" si="90"/>
        <v>-740.27</v>
      </c>
      <c r="J146" s="152">
        <f t="shared" si="90"/>
        <v>-1245.06</v>
      </c>
      <c r="K146" s="152">
        <f t="shared" si="90"/>
        <v>-1525.06</v>
      </c>
      <c r="L146" s="152">
        <f t="shared" si="90"/>
        <v>-1625.06</v>
      </c>
      <c r="M146" s="152">
        <f t="shared" si="90"/>
        <v>-1665.06</v>
      </c>
      <c r="N146" s="152">
        <f t="shared" si="90"/>
        <v>-1665.06</v>
      </c>
      <c r="O146" s="152">
        <f t="shared" si="90"/>
        <v>-2027.3</v>
      </c>
      <c r="P146" s="152">
        <f t="shared" si="90"/>
        <v>-2027.3</v>
      </c>
      <c r="Q146" s="152">
        <f t="shared" si="90"/>
        <v>-2027.3</v>
      </c>
      <c r="R146" s="152">
        <f t="shared" si="90"/>
        <v>-2027.3</v>
      </c>
      <c r="S146" s="152">
        <f t="shared" si="90"/>
        <v>-2027.3</v>
      </c>
      <c r="T146" s="152">
        <f t="shared" si="90"/>
        <v>-2027.3</v>
      </c>
      <c r="U146" s="152">
        <f t="shared" si="90"/>
        <v>-2027.3</v>
      </c>
      <c r="V146" s="152">
        <f t="shared" si="90"/>
        <v>-2027.3</v>
      </c>
      <c r="W146" s="152">
        <f t="shared" si="90"/>
        <v>-2337.3000000000002</v>
      </c>
      <c r="X146" s="152">
        <f t="shared" si="90"/>
        <v>-2337.3000000000002</v>
      </c>
      <c r="Y146" s="152">
        <f t="shared" si="90"/>
        <v>-2337.3000000000002</v>
      </c>
      <c r="Z146" s="152">
        <f t="shared" si="90"/>
        <v>-2337.3000000000002</v>
      </c>
      <c r="AA146" s="152">
        <f t="shared" si="90"/>
        <v>-2337.3000000000002</v>
      </c>
      <c r="AB146" s="152">
        <f t="shared" si="90"/>
        <v>-2337.3000000000002</v>
      </c>
      <c r="AC146" s="152">
        <f t="shared" si="90"/>
        <v>-2337.3000000000002</v>
      </c>
      <c r="AD146" s="152">
        <f t="shared" si="90"/>
        <v>-2337.3000000000002</v>
      </c>
      <c r="AE146" s="152"/>
      <c r="AF146" s="152"/>
      <c r="AG146" s="152"/>
      <c r="AH146" s="152"/>
      <c r="AI146" s="152"/>
      <c r="AJ146" s="152"/>
      <c r="AK146" s="152"/>
      <c r="AL146" s="152"/>
    </row>
    <row r="147" spans="2:44" ht="15" customHeight="1">
      <c r="B147" s="162" t="s">
        <v>471</v>
      </c>
      <c r="C147" s="151" t="str">
        <f t="shared" ref="C147:C152" si="91">Единица_измерения</f>
        <v>тыс. руб.</v>
      </c>
      <c r="D147" s="156">
        <f>SUM(J147:AL147)</f>
        <v>-37420</v>
      </c>
      <c r="E147" s="28">
        <f>E93</f>
        <v>-367</v>
      </c>
      <c r="F147" s="28">
        <f t="shared" ref="F147:AD147" si="92">F93</f>
        <v>-276</v>
      </c>
      <c r="G147" s="28">
        <f t="shared" si="92"/>
        <v>-929</v>
      </c>
      <c r="H147" s="28">
        <f t="shared" si="92"/>
        <v>-128</v>
      </c>
      <c r="I147" s="28">
        <f t="shared" si="92"/>
        <v>-431</v>
      </c>
      <c r="J147" s="28">
        <f t="shared" si="92"/>
        <v>-1120</v>
      </c>
      <c r="K147" s="28">
        <f t="shared" si="92"/>
        <v>-1400</v>
      </c>
      <c r="L147" s="28">
        <f t="shared" si="92"/>
        <v>-1500</v>
      </c>
      <c r="M147" s="28">
        <f t="shared" si="92"/>
        <v>-1540</v>
      </c>
      <c r="N147" s="28">
        <f t="shared" si="92"/>
        <v>-1540</v>
      </c>
      <c r="O147" s="28">
        <f t="shared" si="92"/>
        <v>-1740</v>
      </c>
      <c r="P147" s="28">
        <f t="shared" si="92"/>
        <v>-1740</v>
      </c>
      <c r="Q147" s="28">
        <f t="shared" si="92"/>
        <v>-1740</v>
      </c>
      <c r="R147" s="28">
        <f>R93</f>
        <v>-1740</v>
      </c>
      <c r="S147" s="28">
        <f t="shared" si="92"/>
        <v>-1740</v>
      </c>
      <c r="T147" s="28">
        <f t="shared" si="92"/>
        <v>-1740</v>
      </c>
      <c r="U147" s="28">
        <f t="shared" si="92"/>
        <v>-1740</v>
      </c>
      <c r="V147" s="28">
        <f t="shared" si="92"/>
        <v>-1740</v>
      </c>
      <c r="W147" s="28">
        <f t="shared" si="92"/>
        <v>-2050</v>
      </c>
      <c r="X147" s="28">
        <f t="shared" si="92"/>
        <v>-2050</v>
      </c>
      <c r="Y147" s="28">
        <f t="shared" si="92"/>
        <v>-2050</v>
      </c>
      <c r="Z147" s="28">
        <f t="shared" si="92"/>
        <v>-2050</v>
      </c>
      <c r="AA147" s="28">
        <f t="shared" si="92"/>
        <v>-2050</v>
      </c>
      <c r="AB147" s="28">
        <f t="shared" si="92"/>
        <v>-2050</v>
      </c>
      <c r="AC147" s="28">
        <f t="shared" si="92"/>
        <v>-2050</v>
      </c>
      <c r="AD147" s="28">
        <f t="shared" si="92"/>
        <v>-2050</v>
      </c>
      <c r="AE147" s="28"/>
      <c r="AF147" s="28"/>
      <c r="AG147" s="28"/>
      <c r="AH147" s="28"/>
      <c r="AI147" s="28"/>
      <c r="AJ147" s="28"/>
      <c r="AK147" s="28"/>
      <c r="AL147" s="28"/>
    </row>
    <row r="148" spans="2:44" ht="15" customHeight="1">
      <c r="B148" s="162" t="s">
        <v>475</v>
      </c>
      <c r="C148" s="151" t="str">
        <f t="shared" si="91"/>
        <v>тыс. руб.</v>
      </c>
      <c r="D148" s="156">
        <f t="shared" ref="D148:D152" si="93">SUM(J148:AL148)</f>
        <v>-4017</v>
      </c>
      <c r="E148" s="152">
        <f>E87*0.13</f>
        <v>-266.76</v>
      </c>
      <c r="F148" s="152">
        <f t="shared" ref="F148:AD148" si="94">F87*0.13</f>
        <v>-349.96000000000004</v>
      </c>
      <c r="G148" s="152">
        <f t="shared" si="94"/>
        <v>-387.27000000000004</v>
      </c>
      <c r="H148" s="152">
        <f t="shared" si="94"/>
        <v>-271.57</v>
      </c>
      <c r="I148" s="152">
        <f t="shared" si="94"/>
        <v>-237.9</v>
      </c>
      <c r="J148" s="152">
        <f t="shared" si="94"/>
        <v>-96.2</v>
      </c>
      <c r="K148" s="152">
        <f t="shared" si="94"/>
        <v>-96.2</v>
      </c>
      <c r="L148" s="152">
        <f t="shared" si="94"/>
        <v>-96.2</v>
      </c>
      <c r="M148" s="152">
        <f t="shared" si="94"/>
        <v>-96.2</v>
      </c>
      <c r="N148" s="152">
        <f t="shared" si="94"/>
        <v>-96.2</v>
      </c>
      <c r="O148" s="152">
        <f t="shared" si="94"/>
        <v>-221</v>
      </c>
      <c r="P148" s="152">
        <f t="shared" si="94"/>
        <v>-221</v>
      </c>
      <c r="Q148" s="152">
        <f t="shared" si="94"/>
        <v>-221</v>
      </c>
      <c r="R148" s="152">
        <f t="shared" si="94"/>
        <v>-221</v>
      </c>
      <c r="S148" s="152">
        <f t="shared" si="94"/>
        <v>-221</v>
      </c>
      <c r="T148" s="152">
        <f t="shared" si="94"/>
        <v>-221</v>
      </c>
      <c r="U148" s="152">
        <f t="shared" si="94"/>
        <v>-221</v>
      </c>
      <c r="V148" s="152">
        <f t="shared" si="94"/>
        <v>-221</v>
      </c>
      <c r="W148" s="152">
        <f t="shared" si="94"/>
        <v>-221</v>
      </c>
      <c r="X148" s="152">
        <f t="shared" si="94"/>
        <v>-221</v>
      </c>
      <c r="Y148" s="152">
        <f t="shared" si="94"/>
        <v>-221</v>
      </c>
      <c r="Z148" s="152">
        <f t="shared" si="94"/>
        <v>-221</v>
      </c>
      <c r="AA148" s="152">
        <f t="shared" si="94"/>
        <v>-221</v>
      </c>
      <c r="AB148" s="152">
        <f t="shared" si="94"/>
        <v>-221</v>
      </c>
      <c r="AC148" s="152">
        <f t="shared" si="94"/>
        <v>-221</v>
      </c>
      <c r="AD148" s="152">
        <f t="shared" si="94"/>
        <v>-221</v>
      </c>
      <c r="AE148" s="152"/>
      <c r="AF148" s="152"/>
      <c r="AG148" s="152"/>
      <c r="AH148" s="152"/>
      <c r="AI148" s="152"/>
      <c r="AJ148" s="152"/>
      <c r="AK148" s="152"/>
      <c r="AL148" s="152"/>
    </row>
    <row r="149" spans="2:44" ht="15" customHeight="1">
      <c r="B149" s="162" t="s">
        <v>482</v>
      </c>
      <c r="C149" s="151" t="str">
        <f t="shared" si="91"/>
        <v>тыс. руб.</v>
      </c>
      <c r="D149" s="156">
        <f t="shared" si="93"/>
        <v>-1205.0999999999997</v>
      </c>
      <c r="E149" s="152">
        <f>E88*0.13</f>
        <v>-80.028000000000006</v>
      </c>
      <c r="F149" s="152">
        <f t="shared" ref="F149:AD149" si="95">F88*0.13</f>
        <v>-104.988</v>
      </c>
      <c r="G149" s="152">
        <f t="shared" si="95"/>
        <v>-116.181</v>
      </c>
      <c r="H149" s="152">
        <f t="shared" si="95"/>
        <v>-81.470999999999989</v>
      </c>
      <c r="I149" s="152">
        <f t="shared" si="95"/>
        <v>-71.37</v>
      </c>
      <c r="J149" s="152">
        <f t="shared" si="95"/>
        <v>-28.86</v>
      </c>
      <c r="K149" s="152">
        <f t="shared" si="95"/>
        <v>-28.86</v>
      </c>
      <c r="L149" s="152">
        <f t="shared" si="95"/>
        <v>-28.86</v>
      </c>
      <c r="M149" s="152">
        <f t="shared" si="95"/>
        <v>-28.86</v>
      </c>
      <c r="N149" s="152">
        <f t="shared" si="95"/>
        <v>-28.86</v>
      </c>
      <c r="O149" s="152">
        <f t="shared" si="95"/>
        <v>-66.3</v>
      </c>
      <c r="P149" s="152">
        <f t="shared" si="95"/>
        <v>-66.3</v>
      </c>
      <c r="Q149" s="152">
        <f t="shared" si="95"/>
        <v>-66.3</v>
      </c>
      <c r="R149" s="152">
        <f t="shared" si="95"/>
        <v>-66.3</v>
      </c>
      <c r="S149" s="152">
        <f t="shared" si="95"/>
        <v>-66.3</v>
      </c>
      <c r="T149" s="152">
        <f t="shared" si="95"/>
        <v>-66.3</v>
      </c>
      <c r="U149" s="152">
        <f t="shared" si="95"/>
        <v>-66.3</v>
      </c>
      <c r="V149" s="152">
        <f t="shared" si="95"/>
        <v>-66.3</v>
      </c>
      <c r="W149" s="152">
        <f t="shared" si="95"/>
        <v>-66.3</v>
      </c>
      <c r="X149" s="152">
        <f t="shared" si="95"/>
        <v>-66.3</v>
      </c>
      <c r="Y149" s="152">
        <f t="shared" si="95"/>
        <v>-66.3</v>
      </c>
      <c r="Z149" s="152">
        <f t="shared" si="95"/>
        <v>-66.3</v>
      </c>
      <c r="AA149" s="152">
        <f t="shared" si="95"/>
        <v>-66.3</v>
      </c>
      <c r="AB149" s="152">
        <f t="shared" si="95"/>
        <v>-66.3</v>
      </c>
      <c r="AC149" s="152">
        <f t="shared" si="95"/>
        <v>-66.3</v>
      </c>
      <c r="AD149" s="152">
        <f t="shared" si="95"/>
        <v>-66.3</v>
      </c>
      <c r="AE149" s="152"/>
      <c r="AF149" s="152"/>
      <c r="AG149" s="152"/>
      <c r="AH149" s="152"/>
      <c r="AI149" s="152"/>
      <c r="AJ149" s="152"/>
      <c r="AK149" s="152"/>
      <c r="AL149" s="152"/>
    </row>
    <row r="150" spans="2:44" ht="15" customHeight="1">
      <c r="B150" s="162" t="s">
        <v>474</v>
      </c>
      <c r="C150" s="151" t="str">
        <f t="shared" si="91"/>
        <v>тыс. руб.</v>
      </c>
      <c r="D150" s="156">
        <f t="shared" si="93"/>
        <v>0</v>
      </c>
      <c r="E150" s="28"/>
      <c r="F150" s="28"/>
      <c r="G150" s="28"/>
      <c r="H150" s="28"/>
      <c r="I150" s="28"/>
      <c r="J150" s="28"/>
      <c r="K150" s="28"/>
      <c r="L150" s="28"/>
      <c r="M150" s="28"/>
      <c r="N150" s="28"/>
      <c r="O150" s="28"/>
      <c r="P150" s="28"/>
      <c r="Q150" s="28"/>
      <c r="R150" s="28"/>
      <c r="S150" s="28"/>
      <c r="T150" s="28"/>
      <c r="U150" s="28"/>
      <c r="V150" s="28"/>
      <c r="W150" s="28"/>
      <c r="X150" s="28"/>
      <c r="Y150" s="28"/>
      <c r="Z150" s="28"/>
      <c r="AA150" s="28"/>
      <c r="AB150" s="28"/>
      <c r="AC150" s="28"/>
      <c r="AD150" s="28"/>
      <c r="AE150" s="28"/>
      <c r="AF150" s="28"/>
      <c r="AG150" s="28"/>
      <c r="AH150" s="28"/>
      <c r="AI150" s="28"/>
      <c r="AJ150" s="28"/>
      <c r="AK150" s="28"/>
      <c r="AL150" s="28"/>
    </row>
    <row r="151" spans="2:44" ht="15" customHeight="1">
      <c r="B151" s="162" t="s">
        <v>473</v>
      </c>
      <c r="C151" s="151" t="str">
        <f t="shared" si="91"/>
        <v>тыс. руб.</v>
      </c>
      <c r="D151" s="156">
        <f t="shared" ref="D151" si="96">SUM(J151:AL151)</f>
        <v>0</v>
      </c>
      <c r="E151" s="28"/>
      <c r="F151" s="28"/>
      <c r="G151" s="28"/>
      <c r="H151" s="28"/>
      <c r="I151" s="28"/>
      <c r="J151" s="28"/>
      <c r="K151" s="28"/>
      <c r="L151" s="28"/>
      <c r="M151" s="28"/>
      <c r="N151" s="28"/>
      <c r="O151" s="28"/>
      <c r="P151" s="28"/>
      <c r="Q151" s="28"/>
      <c r="R151" s="28"/>
      <c r="S151" s="28"/>
      <c r="T151" s="28"/>
      <c r="U151" s="28"/>
      <c r="V151" s="28"/>
      <c r="W151" s="28"/>
      <c r="X151" s="28"/>
      <c r="Y151" s="28"/>
      <c r="Z151" s="28"/>
      <c r="AA151" s="28"/>
      <c r="AB151" s="28"/>
      <c r="AC151" s="28"/>
      <c r="AD151" s="28"/>
      <c r="AE151" s="28"/>
      <c r="AF151" s="28"/>
      <c r="AG151" s="28"/>
      <c r="AH151" s="28"/>
      <c r="AI151" s="28"/>
      <c r="AJ151" s="28"/>
      <c r="AK151" s="28"/>
      <c r="AL151" s="28"/>
    </row>
    <row r="152" spans="2:44" ht="15" customHeight="1">
      <c r="B152" s="162" t="s">
        <v>472</v>
      </c>
      <c r="C152" s="151" t="str">
        <f t="shared" si="91"/>
        <v>тыс. руб.</v>
      </c>
      <c r="D152" s="156">
        <f t="shared" si="93"/>
        <v>0</v>
      </c>
      <c r="E152" s="28"/>
      <c r="F152" s="28"/>
      <c r="G152" s="28"/>
      <c r="H152" s="28"/>
      <c r="I152" s="28"/>
      <c r="J152" s="28"/>
      <c r="K152" s="28"/>
      <c r="L152" s="28"/>
      <c r="M152" s="28"/>
      <c r="N152" s="28"/>
      <c r="O152" s="28"/>
      <c r="P152" s="28"/>
      <c r="Q152" s="28"/>
      <c r="R152" s="28"/>
      <c r="S152" s="28"/>
      <c r="T152" s="28"/>
      <c r="U152" s="28"/>
      <c r="V152" s="28"/>
      <c r="W152" s="28"/>
      <c r="X152" s="28"/>
      <c r="Y152" s="28"/>
      <c r="Z152" s="28"/>
      <c r="AA152" s="28"/>
      <c r="AB152" s="28"/>
      <c r="AC152" s="28"/>
      <c r="AD152" s="28"/>
      <c r="AE152" s="28"/>
      <c r="AF152" s="28"/>
      <c r="AG152" s="28"/>
      <c r="AH152" s="28"/>
      <c r="AI152" s="28"/>
      <c r="AJ152" s="28"/>
      <c r="AK152" s="28"/>
      <c r="AL152" s="28"/>
    </row>
    <row r="153" spans="2:44" ht="15" customHeight="1"/>
    <row r="154" spans="2:44" ht="21">
      <c r="B154" s="52" t="s">
        <v>63</v>
      </c>
      <c r="D154" s="52"/>
      <c r="E154" s="53"/>
      <c r="F154" s="53"/>
      <c r="G154" s="53"/>
      <c r="H154" s="53"/>
      <c r="I154" s="53"/>
      <c r="J154" s="53"/>
      <c r="K154" s="53"/>
      <c r="L154" s="53"/>
      <c r="M154" s="53"/>
      <c r="N154" s="53"/>
      <c r="O154" s="53"/>
      <c r="P154" s="53"/>
      <c r="Q154" s="53"/>
      <c r="R154" s="53"/>
      <c r="S154" s="53"/>
      <c r="T154" s="53"/>
      <c r="U154" s="53"/>
      <c r="V154" s="53"/>
      <c r="W154" s="53"/>
      <c r="X154" s="53"/>
      <c r="Y154" s="53"/>
      <c r="Z154" s="53"/>
      <c r="AA154" s="53"/>
      <c r="AB154" s="53"/>
      <c r="AC154" s="53"/>
      <c r="AD154" s="53"/>
      <c r="AE154" s="53"/>
      <c r="AF154" s="53"/>
      <c r="AG154" s="53"/>
      <c r="AH154" s="53"/>
      <c r="AI154" s="53"/>
      <c r="AJ154" s="53"/>
      <c r="AK154" s="53"/>
      <c r="AL154" s="53"/>
      <c r="AM154" s="53"/>
      <c r="AN154" s="53"/>
      <c r="AO154" s="53"/>
      <c r="AP154" s="53"/>
      <c r="AQ154" s="53"/>
      <c r="AR154" s="53"/>
    </row>
    <row r="155" spans="2:44" ht="21">
      <c r="B155" s="166" t="s">
        <v>64</v>
      </c>
      <c r="D155" s="52"/>
      <c r="E155" s="53"/>
      <c r="F155" s="53"/>
      <c r="G155" s="53"/>
      <c r="H155" s="53"/>
      <c r="I155" s="53"/>
      <c r="J155" s="53"/>
      <c r="K155" s="53"/>
      <c r="L155" s="53"/>
      <c r="M155" s="53"/>
      <c r="N155" s="53"/>
      <c r="O155" s="53"/>
      <c r="P155" s="53"/>
      <c r="Q155" s="53"/>
      <c r="R155" s="53"/>
      <c r="S155" s="53"/>
      <c r="T155" s="53"/>
      <c r="U155" s="53"/>
      <c r="V155" s="53"/>
      <c r="W155" s="53"/>
      <c r="X155" s="53"/>
      <c r="Y155" s="53"/>
      <c r="Z155" s="53"/>
      <c r="AA155" s="53"/>
      <c r="AB155" s="53"/>
      <c r="AC155" s="53"/>
      <c r="AD155" s="53"/>
      <c r="AE155" s="53"/>
      <c r="AF155" s="53"/>
      <c r="AG155" s="53"/>
      <c r="AH155" s="53"/>
      <c r="AI155" s="53"/>
      <c r="AJ155" s="53"/>
      <c r="AK155" s="53"/>
      <c r="AL155" s="53"/>
      <c r="AM155" s="53"/>
      <c r="AN155" s="53"/>
      <c r="AO155" s="53"/>
      <c r="AP155" s="53"/>
      <c r="AQ155" s="53"/>
      <c r="AR155" s="53"/>
    </row>
    <row r="156" spans="2:44" ht="15" customHeight="1">
      <c r="B156" s="150" t="s">
        <v>135</v>
      </c>
      <c r="C156" s="151" t="str">
        <f t="shared" ref="C156:C165" si="97">Единица_измерения</f>
        <v>тыс. руб.</v>
      </c>
      <c r="D156" s="152"/>
      <c r="E156" s="28"/>
      <c r="F156" s="28"/>
      <c r="G156" s="28"/>
      <c r="H156" s="28"/>
      <c r="I156" s="28"/>
      <c r="J156" s="28"/>
      <c r="K156" s="28"/>
      <c r="L156" s="28"/>
      <c r="M156" s="28"/>
      <c r="N156" s="28"/>
      <c r="O156" s="28"/>
      <c r="P156" s="28"/>
      <c r="Q156" s="28"/>
      <c r="R156" s="28"/>
      <c r="S156" s="28"/>
      <c r="T156" s="28"/>
      <c r="U156" s="28"/>
      <c r="V156" s="28"/>
      <c r="W156" s="28"/>
      <c r="X156" s="28"/>
      <c r="Y156" s="28"/>
      <c r="Z156" s="28"/>
      <c r="AA156" s="28"/>
      <c r="AB156" s="28"/>
      <c r="AC156" s="28"/>
      <c r="AD156" s="28"/>
      <c r="AE156" s="28"/>
      <c r="AF156" s="28"/>
      <c r="AG156" s="28"/>
      <c r="AH156" s="28"/>
      <c r="AI156" s="28"/>
      <c r="AJ156" s="28"/>
      <c r="AK156" s="28"/>
      <c r="AL156" s="28"/>
    </row>
    <row r="157" spans="2:44" ht="15" customHeight="1">
      <c r="B157" s="168" t="s">
        <v>136</v>
      </c>
      <c r="C157" s="151" t="str">
        <f t="shared" si="97"/>
        <v>тыс. руб.</v>
      </c>
      <c r="D157" s="152"/>
      <c r="E157" s="28"/>
      <c r="F157" s="28"/>
      <c r="G157" s="28"/>
      <c r="H157" s="28"/>
      <c r="I157" s="28"/>
      <c r="J157" s="28"/>
      <c r="K157" s="28"/>
      <c r="L157" s="28"/>
      <c r="M157" s="28"/>
      <c r="N157" s="28"/>
      <c r="O157" s="28"/>
      <c r="P157" s="28"/>
      <c r="Q157" s="28"/>
      <c r="R157" s="28"/>
      <c r="S157" s="28"/>
      <c r="T157" s="28"/>
      <c r="U157" s="28"/>
      <c r="V157" s="28"/>
      <c r="W157" s="28"/>
      <c r="X157" s="28"/>
      <c r="Y157" s="28"/>
      <c r="Z157" s="28"/>
      <c r="AA157" s="28"/>
      <c r="AB157" s="28"/>
      <c r="AC157" s="28"/>
      <c r="AD157" s="28"/>
      <c r="AE157" s="28"/>
      <c r="AF157" s="28"/>
      <c r="AG157" s="28"/>
      <c r="AH157" s="28"/>
      <c r="AI157" s="28"/>
      <c r="AJ157" s="28"/>
      <c r="AK157" s="28"/>
      <c r="AL157" s="28"/>
    </row>
    <row r="158" spans="2:44" ht="15" customHeight="1">
      <c r="B158" s="168" t="s">
        <v>137</v>
      </c>
      <c r="C158" s="151" t="str">
        <f t="shared" si="97"/>
        <v>тыс. руб.</v>
      </c>
      <c r="D158" s="152"/>
      <c r="E158" s="28"/>
      <c r="F158" s="28"/>
      <c r="G158" s="28"/>
      <c r="H158" s="28"/>
      <c r="I158" s="28"/>
      <c r="J158" s="28"/>
      <c r="K158" s="28"/>
      <c r="L158" s="28"/>
      <c r="M158" s="28"/>
      <c r="N158" s="28"/>
      <c r="O158" s="28"/>
      <c r="P158" s="28"/>
      <c r="Q158" s="28"/>
      <c r="R158" s="28"/>
      <c r="S158" s="28"/>
      <c r="T158" s="28"/>
      <c r="U158" s="28"/>
      <c r="V158" s="28"/>
      <c r="W158" s="28"/>
      <c r="X158" s="28"/>
      <c r="Y158" s="28"/>
      <c r="Z158" s="28"/>
      <c r="AA158" s="28"/>
      <c r="AB158" s="28"/>
      <c r="AC158" s="28"/>
      <c r="AD158" s="28"/>
      <c r="AE158" s="28"/>
      <c r="AF158" s="28"/>
      <c r="AG158" s="28"/>
      <c r="AH158" s="28"/>
      <c r="AI158" s="28"/>
      <c r="AJ158" s="28"/>
      <c r="AK158" s="28"/>
      <c r="AL158" s="28"/>
    </row>
    <row r="159" spans="2:44" ht="15" customHeight="1">
      <c r="B159" s="168" t="s">
        <v>138</v>
      </c>
      <c r="C159" s="151" t="str">
        <f t="shared" si="97"/>
        <v>тыс. руб.</v>
      </c>
      <c r="D159" s="152"/>
      <c r="E159" s="28"/>
      <c r="F159" s="28"/>
      <c r="G159" s="28"/>
      <c r="H159" s="28"/>
      <c r="I159" s="28"/>
      <c r="J159" s="28"/>
      <c r="K159" s="28"/>
      <c r="L159" s="28"/>
      <c r="M159" s="28"/>
      <c r="N159" s="28"/>
      <c r="O159" s="28"/>
      <c r="P159" s="28"/>
      <c r="Q159" s="28"/>
      <c r="R159" s="28"/>
      <c r="S159" s="28"/>
      <c r="T159" s="28"/>
      <c r="U159" s="28"/>
      <c r="V159" s="28"/>
      <c r="W159" s="28"/>
      <c r="X159" s="28"/>
      <c r="Y159" s="28"/>
      <c r="Z159" s="28"/>
      <c r="AA159" s="28"/>
      <c r="AB159" s="28"/>
      <c r="AC159" s="28"/>
      <c r="AD159" s="28"/>
      <c r="AE159" s="28"/>
      <c r="AF159" s="28"/>
      <c r="AG159" s="28"/>
      <c r="AH159" s="28"/>
      <c r="AI159" s="28"/>
      <c r="AJ159" s="28"/>
      <c r="AK159" s="28"/>
      <c r="AL159" s="28"/>
    </row>
    <row r="160" spans="2:44" ht="15" customHeight="1">
      <c r="B160" s="168" t="s">
        <v>65</v>
      </c>
      <c r="C160" s="151" t="str">
        <f t="shared" si="97"/>
        <v>тыс. руб.</v>
      </c>
      <c r="D160" s="152"/>
      <c r="E160" s="28"/>
      <c r="F160" s="28"/>
      <c r="G160" s="28">
        <v>385</v>
      </c>
      <c r="H160" s="28">
        <v>420</v>
      </c>
      <c r="I160" s="28">
        <v>1649</v>
      </c>
      <c r="J160" s="28">
        <v>1649</v>
      </c>
      <c r="K160" s="28">
        <v>1649</v>
      </c>
      <c r="L160" s="28">
        <v>1649</v>
      </c>
      <c r="M160" s="28">
        <v>1649</v>
      </c>
      <c r="N160" s="28">
        <f>38000/1.2</f>
        <v>31666.666666666668</v>
      </c>
      <c r="O160" s="28">
        <f>N160+O76</f>
        <v>30162.666666666668</v>
      </c>
      <c r="P160" s="28">
        <f t="shared" ref="P160:AD160" si="98">O160+P76</f>
        <v>28658.666666666668</v>
      </c>
      <c r="Q160" s="28">
        <f t="shared" si="98"/>
        <v>27154.666666666668</v>
      </c>
      <c r="R160" s="28">
        <f t="shared" si="98"/>
        <v>25650.666666666668</v>
      </c>
      <c r="S160" s="28">
        <f t="shared" si="98"/>
        <v>24146.666666666668</v>
      </c>
      <c r="T160" s="28">
        <f t="shared" si="98"/>
        <v>22642.666666666668</v>
      </c>
      <c r="U160" s="28">
        <f t="shared" si="98"/>
        <v>21138.666666666668</v>
      </c>
      <c r="V160" s="28">
        <f t="shared" si="98"/>
        <v>19634.666666666668</v>
      </c>
      <c r="W160" s="28">
        <f t="shared" si="98"/>
        <v>18130.666666666668</v>
      </c>
      <c r="X160" s="28">
        <f t="shared" si="98"/>
        <v>16626.666666666668</v>
      </c>
      <c r="Y160" s="28">
        <f t="shared" si="98"/>
        <v>15122.666666666668</v>
      </c>
      <c r="Z160" s="28">
        <f t="shared" si="98"/>
        <v>13618.666666666668</v>
      </c>
      <c r="AA160" s="28">
        <f t="shared" si="98"/>
        <v>12114.666666666668</v>
      </c>
      <c r="AB160" s="28">
        <f t="shared" si="98"/>
        <v>10610.666666666668</v>
      </c>
      <c r="AC160" s="28">
        <f t="shared" si="98"/>
        <v>9106.6666666666679</v>
      </c>
      <c r="AD160" s="28">
        <f t="shared" si="98"/>
        <v>7602.6666666666679</v>
      </c>
      <c r="AE160" s="28"/>
      <c r="AF160" s="28"/>
      <c r="AG160" s="28"/>
      <c r="AH160" s="28"/>
      <c r="AI160" s="28"/>
      <c r="AJ160" s="28"/>
      <c r="AK160" s="28"/>
      <c r="AL160" s="28"/>
    </row>
    <row r="161" spans="2:44" ht="15" customHeight="1">
      <c r="B161" s="168" t="s">
        <v>139</v>
      </c>
      <c r="C161" s="151" t="str">
        <f t="shared" si="97"/>
        <v>тыс. руб.</v>
      </c>
      <c r="D161" s="152"/>
      <c r="E161" s="28"/>
      <c r="F161" s="28"/>
      <c r="G161" s="28"/>
      <c r="H161" s="28"/>
      <c r="I161" s="28"/>
      <c r="J161" s="28"/>
      <c r="K161" s="28"/>
      <c r="L161" s="28"/>
      <c r="M161" s="28"/>
      <c r="N161" s="28"/>
      <c r="O161" s="28"/>
      <c r="P161" s="28"/>
      <c r="Q161" s="28"/>
      <c r="R161" s="28"/>
      <c r="S161" s="28"/>
      <c r="T161" s="28"/>
      <c r="U161" s="28"/>
      <c r="V161" s="28"/>
      <c r="W161" s="28"/>
      <c r="X161" s="28"/>
      <c r="Y161" s="28"/>
      <c r="Z161" s="28"/>
      <c r="AA161" s="28"/>
      <c r="AB161" s="28"/>
      <c r="AC161" s="28"/>
      <c r="AD161" s="28"/>
      <c r="AE161" s="28"/>
      <c r="AF161" s="28"/>
      <c r="AG161" s="28"/>
      <c r="AH161" s="28"/>
      <c r="AI161" s="28"/>
      <c r="AJ161" s="28"/>
      <c r="AK161" s="28"/>
      <c r="AL161" s="28"/>
    </row>
    <row r="162" spans="2:44" ht="15" customHeight="1">
      <c r="B162" s="168" t="s">
        <v>140</v>
      </c>
      <c r="C162" s="151" t="str">
        <f t="shared" si="97"/>
        <v>тыс. руб.</v>
      </c>
      <c r="D162" s="152"/>
      <c r="E162" s="28"/>
      <c r="F162" s="28"/>
      <c r="G162" s="28"/>
      <c r="H162" s="28"/>
      <c r="I162" s="28"/>
      <c r="J162" s="28"/>
      <c r="K162" s="28"/>
      <c r="L162" s="28"/>
      <c r="M162" s="28"/>
      <c r="N162" s="28"/>
      <c r="O162" s="28"/>
      <c r="P162" s="28"/>
      <c r="Q162" s="28"/>
      <c r="R162" s="28"/>
      <c r="S162" s="28"/>
      <c r="T162" s="28"/>
      <c r="U162" s="28"/>
      <c r="V162" s="28"/>
      <c r="W162" s="28"/>
      <c r="X162" s="28"/>
      <c r="Y162" s="28"/>
      <c r="Z162" s="28"/>
      <c r="AA162" s="28"/>
      <c r="AB162" s="28"/>
      <c r="AC162" s="28"/>
      <c r="AD162" s="28"/>
      <c r="AE162" s="28"/>
      <c r="AF162" s="28"/>
      <c r="AG162" s="28"/>
      <c r="AH162" s="28"/>
      <c r="AI162" s="28"/>
      <c r="AJ162" s="28"/>
      <c r="AK162" s="28"/>
      <c r="AL162" s="28"/>
    </row>
    <row r="163" spans="2:44" ht="15" customHeight="1">
      <c r="B163" s="168" t="s">
        <v>141</v>
      </c>
      <c r="C163" s="151" t="str">
        <f t="shared" si="97"/>
        <v>тыс. руб.</v>
      </c>
      <c r="D163" s="152"/>
      <c r="E163" s="28"/>
      <c r="F163" s="28"/>
      <c r="G163" s="28"/>
      <c r="H163" s="28"/>
      <c r="I163" s="28"/>
      <c r="J163" s="28"/>
      <c r="K163" s="28"/>
      <c r="L163" s="28"/>
      <c r="M163" s="28"/>
      <c r="N163" s="28"/>
      <c r="O163" s="28"/>
      <c r="P163" s="28"/>
      <c r="Q163" s="28"/>
      <c r="R163" s="28"/>
      <c r="S163" s="28"/>
      <c r="T163" s="28"/>
      <c r="U163" s="28"/>
      <c r="V163" s="28"/>
      <c r="W163" s="28"/>
      <c r="X163" s="28"/>
      <c r="Y163" s="28"/>
      <c r="Z163" s="28"/>
      <c r="AA163" s="28"/>
      <c r="AB163" s="28"/>
      <c r="AC163" s="28"/>
      <c r="AD163" s="28"/>
      <c r="AE163" s="28"/>
      <c r="AF163" s="28"/>
      <c r="AG163" s="28"/>
      <c r="AH163" s="28"/>
      <c r="AI163" s="28"/>
      <c r="AJ163" s="28"/>
      <c r="AK163" s="28"/>
      <c r="AL163" s="28"/>
    </row>
    <row r="164" spans="2:44" ht="15" customHeight="1">
      <c r="B164" s="168" t="s">
        <v>142</v>
      </c>
      <c r="C164" s="151" t="str">
        <f t="shared" si="97"/>
        <v>тыс. руб.</v>
      </c>
      <c r="D164" s="152"/>
      <c r="E164" s="28"/>
      <c r="F164" s="28"/>
      <c r="G164" s="28"/>
      <c r="H164" s="28"/>
      <c r="I164" s="28"/>
      <c r="J164" s="28"/>
      <c r="K164" s="28"/>
      <c r="L164" s="28"/>
      <c r="M164" s="28"/>
      <c r="N164" s="28"/>
      <c r="O164" s="28"/>
      <c r="P164" s="28"/>
      <c r="Q164" s="28"/>
      <c r="R164" s="28"/>
      <c r="S164" s="28"/>
      <c r="T164" s="28"/>
      <c r="U164" s="28"/>
      <c r="V164" s="28"/>
      <c r="W164" s="28"/>
      <c r="X164" s="28"/>
      <c r="Y164" s="28"/>
      <c r="Z164" s="28"/>
      <c r="AA164" s="28"/>
      <c r="AB164" s="28"/>
      <c r="AC164" s="28"/>
      <c r="AD164" s="28"/>
      <c r="AE164" s="28"/>
      <c r="AF164" s="28"/>
      <c r="AG164" s="28"/>
      <c r="AH164" s="28"/>
      <c r="AI164" s="28"/>
      <c r="AJ164" s="28"/>
      <c r="AK164" s="28"/>
      <c r="AL164" s="28"/>
    </row>
    <row r="165" spans="2:44" ht="15" customHeight="1">
      <c r="B165" s="169" t="s">
        <v>71</v>
      </c>
      <c r="C165" s="170" t="str">
        <f t="shared" si="97"/>
        <v>тыс. руб.</v>
      </c>
      <c r="D165" s="172"/>
      <c r="E165" s="157">
        <f>SUM(E156,E157,E158,E159,E160,E161,E162,E163,E164)</f>
        <v>0</v>
      </c>
      <c r="F165" s="157">
        <f t="shared" ref="F165:L165" si="99">SUM(F156,F157,F158,F159,F160,F161,F162,F163,F164)</f>
        <v>0</v>
      </c>
      <c r="G165" s="157">
        <f t="shared" si="99"/>
        <v>385</v>
      </c>
      <c r="H165" s="157">
        <f t="shared" si="99"/>
        <v>420</v>
      </c>
      <c r="I165" s="157">
        <f t="shared" si="99"/>
        <v>1649</v>
      </c>
      <c r="J165" s="157">
        <f t="shared" si="99"/>
        <v>1649</v>
      </c>
      <c r="K165" s="157">
        <f t="shared" si="99"/>
        <v>1649</v>
      </c>
      <c r="L165" s="157">
        <f t="shared" si="99"/>
        <v>1649</v>
      </c>
      <c r="M165" s="157">
        <f t="shared" ref="M165:AD165" si="100">SUM(M156,M157,M158,M159,M160,M161,M162,M163,M164)</f>
        <v>1649</v>
      </c>
      <c r="N165" s="157">
        <f t="shared" si="100"/>
        <v>31666.666666666668</v>
      </c>
      <c r="O165" s="157">
        <f t="shared" si="100"/>
        <v>30162.666666666668</v>
      </c>
      <c r="P165" s="157">
        <f t="shared" si="100"/>
        <v>28658.666666666668</v>
      </c>
      <c r="Q165" s="157">
        <f t="shared" si="100"/>
        <v>27154.666666666668</v>
      </c>
      <c r="R165" s="157">
        <f t="shared" si="100"/>
        <v>25650.666666666668</v>
      </c>
      <c r="S165" s="157">
        <f t="shared" si="100"/>
        <v>24146.666666666668</v>
      </c>
      <c r="T165" s="157">
        <f t="shared" si="100"/>
        <v>22642.666666666668</v>
      </c>
      <c r="U165" s="157">
        <f t="shared" si="100"/>
        <v>21138.666666666668</v>
      </c>
      <c r="V165" s="157">
        <f t="shared" si="100"/>
        <v>19634.666666666668</v>
      </c>
      <c r="W165" s="157">
        <f t="shared" si="100"/>
        <v>18130.666666666668</v>
      </c>
      <c r="X165" s="157">
        <f t="shared" si="100"/>
        <v>16626.666666666668</v>
      </c>
      <c r="Y165" s="157">
        <f t="shared" si="100"/>
        <v>15122.666666666668</v>
      </c>
      <c r="Z165" s="157">
        <f t="shared" si="100"/>
        <v>13618.666666666668</v>
      </c>
      <c r="AA165" s="157">
        <f t="shared" si="100"/>
        <v>12114.666666666668</v>
      </c>
      <c r="AB165" s="157">
        <f t="shared" si="100"/>
        <v>10610.666666666668</v>
      </c>
      <c r="AC165" s="157">
        <f t="shared" si="100"/>
        <v>9106.6666666666679</v>
      </c>
      <c r="AD165" s="157">
        <f t="shared" si="100"/>
        <v>7602.6666666666679</v>
      </c>
      <c r="AE165" s="157"/>
      <c r="AF165" s="157"/>
      <c r="AG165" s="157"/>
      <c r="AH165" s="157"/>
      <c r="AI165" s="157"/>
      <c r="AJ165" s="157"/>
      <c r="AK165" s="157"/>
      <c r="AL165" s="157"/>
    </row>
    <row r="166" spans="2:44" ht="15" customHeight="1"/>
    <row r="167" spans="2:44" ht="21">
      <c r="B167" s="166" t="s">
        <v>66</v>
      </c>
      <c r="D167" s="52"/>
      <c r="E167" s="53"/>
      <c r="F167" s="53"/>
      <c r="G167" s="53"/>
      <c r="H167" s="53"/>
      <c r="I167" s="53"/>
      <c r="J167" s="53"/>
      <c r="K167" s="53"/>
      <c r="L167" s="53"/>
      <c r="M167" s="53"/>
      <c r="N167" s="53"/>
      <c r="O167" s="53"/>
      <c r="P167" s="53"/>
      <c r="Q167" s="53"/>
      <c r="R167" s="53"/>
      <c r="S167" s="53"/>
      <c r="T167" s="53"/>
      <c r="U167" s="53"/>
      <c r="V167" s="53"/>
      <c r="W167" s="53"/>
      <c r="X167" s="53"/>
      <c r="Y167" s="53"/>
      <c r="Z167" s="53"/>
      <c r="AA167" s="53"/>
      <c r="AB167" s="53"/>
      <c r="AC167" s="53"/>
      <c r="AD167" s="53"/>
      <c r="AE167" s="53"/>
      <c r="AF167" s="53"/>
      <c r="AG167" s="53"/>
      <c r="AH167" s="53"/>
      <c r="AI167" s="53"/>
      <c r="AJ167" s="53"/>
      <c r="AK167" s="53"/>
      <c r="AL167" s="53"/>
      <c r="AM167" s="53"/>
      <c r="AN167" s="53"/>
      <c r="AO167" s="53"/>
      <c r="AP167" s="53"/>
      <c r="AQ167" s="53"/>
      <c r="AR167" s="53"/>
    </row>
    <row r="168" spans="2:44" ht="15" customHeight="1">
      <c r="B168" s="150" t="s">
        <v>67</v>
      </c>
      <c r="C168" s="151" t="str">
        <f t="shared" ref="C168:C174" si="101">Единица_измерения</f>
        <v>тыс. руб.</v>
      </c>
      <c r="D168" s="152"/>
      <c r="E168" s="28">
        <v>12563</v>
      </c>
      <c r="F168" s="28">
        <v>10129</v>
      </c>
      <c r="G168" s="28">
        <v>14864</v>
      </c>
      <c r="H168" s="28">
        <v>12370</v>
      </c>
      <c r="I168" s="28">
        <v>10635</v>
      </c>
      <c r="J168" s="28">
        <v>14000</v>
      </c>
      <c r="K168" s="28">
        <v>14000</v>
      </c>
      <c r="L168" s="28">
        <v>14000</v>
      </c>
      <c r="M168" s="28">
        <v>14000</v>
      </c>
      <c r="N168" s="28">
        <v>14000</v>
      </c>
      <c r="O168" s="28">
        <v>14000</v>
      </c>
      <c r="P168" s="28">
        <v>14000</v>
      </c>
      <c r="Q168" s="28">
        <v>14000</v>
      </c>
      <c r="R168" s="28">
        <v>14000</v>
      </c>
      <c r="S168" s="28">
        <v>14000</v>
      </c>
      <c r="T168" s="28">
        <v>14000</v>
      </c>
      <c r="U168" s="28">
        <v>14000</v>
      </c>
      <c r="V168" s="28">
        <v>14000</v>
      </c>
      <c r="W168" s="28">
        <v>14000</v>
      </c>
      <c r="X168" s="28">
        <v>14000</v>
      </c>
      <c r="Y168" s="28">
        <v>14000</v>
      </c>
      <c r="Z168" s="28">
        <v>14000</v>
      </c>
      <c r="AA168" s="28">
        <v>14000</v>
      </c>
      <c r="AB168" s="28">
        <v>14000</v>
      </c>
      <c r="AC168" s="28">
        <v>14000</v>
      </c>
      <c r="AD168" s="28">
        <v>14000</v>
      </c>
      <c r="AE168" s="28"/>
      <c r="AF168" s="28"/>
      <c r="AG168" s="28"/>
      <c r="AH168" s="28"/>
      <c r="AI168" s="28"/>
      <c r="AJ168" s="28"/>
      <c r="AK168" s="28"/>
      <c r="AL168" s="28"/>
    </row>
    <row r="169" spans="2:44" ht="15" customHeight="1">
      <c r="B169" s="168" t="s">
        <v>68</v>
      </c>
      <c r="C169" s="151" t="str">
        <f t="shared" si="101"/>
        <v>тыс. руб.</v>
      </c>
      <c r="D169" s="152"/>
      <c r="E169" s="28"/>
      <c r="F169" s="28"/>
      <c r="G169" s="28"/>
      <c r="H169" s="28"/>
      <c r="I169" s="28"/>
      <c r="J169" s="28"/>
      <c r="K169" s="28"/>
      <c r="L169" s="28"/>
      <c r="M169" s="28"/>
      <c r="N169" s="28"/>
      <c r="O169" s="28"/>
      <c r="P169" s="28"/>
      <c r="Q169" s="28"/>
      <c r="R169" s="28"/>
      <c r="S169" s="28"/>
      <c r="T169" s="28"/>
      <c r="U169" s="28"/>
      <c r="V169" s="28"/>
      <c r="W169" s="28"/>
      <c r="X169" s="28"/>
      <c r="Y169" s="28"/>
      <c r="Z169" s="28"/>
      <c r="AA169" s="28"/>
      <c r="AB169" s="28"/>
      <c r="AC169" s="28"/>
      <c r="AD169" s="28"/>
      <c r="AE169" s="28"/>
      <c r="AF169" s="28"/>
      <c r="AG169" s="28"/>
      <c r="AH169" s="28"/>
      <c r="AI169" s="28"/>
      <c r="AJ169" s="28"/>
      <c r="AK169" s="28"/>
      <c r="AL169" s="28"/>
    </row>
    <row r="170" spans="2:44" ht="15" customHeight="1">
      <c r="B170" s="168" t="s">
        <v>69</v>
      </c>
      <c r="C170" s="151" t="str">
        <f t="shared" si="101"/>
        <v>тыс. руб.</v>
      </c>
      <c r="D170" s="152"/>
      <c r="E170" s="28">
        <v>2504</v>
      </c>
      <c r="F170" s="28">
        <v>1370</v>
      </c>
      <c r="G170" s="28">
        <v>4281</v>
      </c>
      <c r="H170" s="28">
        <v>2716</v>
      </c>
      <c r="I170" s="28">
        <v>7787</v>
      </c>
      <c r="J170" s="28">
        <v>39919.599999999999</v>
      </c>
      <c r="K170" s="28">
        <v>41225.599999999999</v>
      </c>
      <c r="L170" s="28">
        <v>39017.599999999999</v>
      </c>
      <c r="M170" s="28">
        <v>36809.599999999999</v>
      </c>
      <c r="N170" s="28">
        <v>4583.8999999999996</v>
      </c>
      <c r="O170" s="28">
        <v>5127.8999999999996</v>
      </c>
      <c r="P170" s="28">
        <v>5671.9</v>
      </c>
      <c r="Q170" s="28">
        <v>6215.9</v>
      </c>
      <c r="R170" s="28">
        <v>6759.9</v>
      </c>
      <c r="S170" s="28">
        <v>7303.9</v>
      </c>
      <c r="T170" s="28">
        <v>7847.9</v>
      </c>
      <c r="U170" s="28">
        <v>8391.9</v>
      </c>
      <c r="V170" s="28">
        <v>8935.9</v>
      </c>
      <c r="W170" s="28">
        <v>9479.9</v>
      </c>
      <c r="X170" s="28">
        <v>10023.9</v>
      </c>
      <c r="Y170" s="28">
        <v>10567.9</v>
      </c>
      <c r="Z170" s="28">
        <v>11111.9</v>
      </c>
      <c r="AA170" s="28">
        <v>11655.9</v>
      </c>
      <c r="AB170" s="28">
        <v>12199.9</v>
      </c>
      <c r="AC170" s="28">
        <v>12743.9</v>
      </c>
      <c r="AD170" s="28">
        <v>13287.9</v>
      </c>
      <c r="AE170" s="28"/>
      <c r="AF170" s="28"/>
      <c r="AG170" s="28"/>
      <c r="AH170" s="28"/>
      <c r="AI170" s="28"/>
      <c r="AJ170" s="28"/>
      <c r="AK170" s="28"/>
      <c r="AL170" s="28"/>
    </row>
    <row r="171" spans="2:44" ht="15" customHeight="1">
      <c r="B171" s="168" t="s">
        <v>140</v>
      </c>
      <c r="C171" s="151" t="str">
        <f t="shared" si="101"/>
        <v>тыс. руб.</v>
      </c>
      <c r="D171" s="152"/>
      <c r="E171" s="28"/>
      <c r="F171" s="28">
        <v>4613</v>
      </c>
      <c r="G171" s="28">
        <v>9049</v>
      </c>
      <c r="H171" s="28">
        <v>9548</v>
      </c>
      <c r="I171" s="28">
        <v>9548</v>
      </c>
      <c r="J171" s="28"/>
      <c r="K171" s="28"/>
      <c r="L171" s="28"/>
      <c r="M171" s="28"/>
      <c r="N171" s="28"/>
      <c r="O171" s="28"/>
      <c r="P171" s="28"/>
      <c r="Q171" s="28"/>
      <c r="R171" s="28"/>
      <c r="S171" s="28"/>
      <c r="T171" s="28"/>
      <c r="U171" s="28"/>
      <c r="V171" s="28"/>
      <c r="W171" s="28"/>
      <c r="X171" s="28"/>
      <c r="Y171" s="28"/>
      <c r="Z171" s="28"/>
      <c r="AA171" s="28"/>
      <c r="AB171" s="28"/>
      <c r="AC171" s="28"/>
      <c r="AD171" s="28"/>
      <c r="AE171" s="28"/>
      <c r="AF171" s="28"/>
      <c r="AG171" s="28"/>
      <c r="AH171" s="28"/>
      <c r="AI171" s="28"/>
      <c r="AJ171" s="28"/>
      <c r="AK171" s="28"/>
      <c r="AL171" s="28"/>
    </row>
    <row r="172" spans="2:44" ht="15" customHeight="1">
      <c r="B172" s="168" t="s">
        <v>143</v>
      </c>
      <c r="C172" s="151" t="str">
        <f t="shared" si="101"/>
        <v>тыс. руб.</v>
      </c>
      <c r="D172" s="152"/>
      <c r="E172" s="152">
        <f>E140</f>
        <v>3196.4000000000015</v>
      </c>
      <c r="F172" s="152">
        <f>F140</f>
        <v>3495.8000000000029</v>
      </c>
      <c r="G172" s="152">
        <f t="shared" ref="G172:AD172" si="102">G140</f>
        <v>3186.1000000000058</v>
      </c>
      <c r="H172" s="152">
        <f t="shared" si="102"/>
        <v>3422.4000000000087</v>
      </c>
      <c r="I172" s="152">
        <f t="shared" si="102"/>
        <v>5250.4000000000087</v>
      </c>
      <c r="J172" s="152">
        <f>J140</f>
        <v>159.40000000000873</v>
      </c>
      <c r="K172" s="152">
        <f t="shared" si="102"/>
        <v>2472.0000000000073</v>
      </c>
      <c r="L172" s="152">
        <f t="shared" si="102"/>
        <v>7199.6000000000058</v>
      </c>
      <c r="M172" s="152">
        <f>M140</f>
        <v>11886.200000000004</v>
      </c>
      <c r="N172" s="152">
        <f t="shared" si="102"/>
        <v>16572.800000000003</v>
      </c>
      <c r="O172" s="152">
        <f t="shared" si="102"/>
        <v>21837.430000000004</v>
      </c>
      <c r="P172" s="152">
        <f t="shared" si="102"/>
        <v>27102.060000000005</v>
      </c>
      <c r="Q172" s="152">
        <f t="shared" si="102"/>
        <v>32902.19</v>
      </c>
      <c r="R172" s="152">
        <f t="shared" si="102"/>
        <v>38703.320000000007</v>
      </c>
      <c r="S172" s="152">
        <f t="shared" si="102"/>
        <v>42444.950000000012</v>
      </c>
      <c r="T172" s="152">
        <f t="shared" si="102"/>
        <v>46194.580000000016</v>
      </c>
      <c r="U172" s="152">
        <f t="shared" si="102"/>
        <v>50218.910000000018</v>
      </c>
      <c r="V172" s="152">
        <f t="shared" si="102"/>
        <v>54867.340000000018</v>
      </c>
      <c r="W172" s="152">
        <f t="shared" si="102"/>
        <v>60287.770000000019</v>
      </c>
      <c r="X172" s="152">
        <f t="shared" si="102"/>
        <v>66785.650000000023</v>
      </c>
      <c r="Y172" s="152">
        <f t="shared" si="102"/>
        <v>75109.780000000028</v>
      </c>
      <c r="Z172" s="152">
        <f t="shared" si="102"/>
        <v>83444.910000000033</v>
      </c>
      <c r="AA172" s="152">
        <f t="shared" si="102"/>
        <v>91787.040000000037</v>
      </c>
      <c r="AB172" s="152">
        <f t="shared" si="102"/>
        <v>100140.17000000004</v>
      </c>
      <c r="AC172" s="152">
        <f t="shared" si="102"/>
        <v>108503.30000000005</v>
      </c>
      <c r="AD172" s="152">
        <f t="shared" si="102"/>
        <v>116877.43000000005</v>
      </c>
      <c r="AE172" s="152"/>
      <c r="AF172" s="152"/>
      <c r="AG172" s="152"/>
      <c r="AH172" s="152"/>
      <c r="AI172" s="152"/>
      <c r="AJ172" s="152"/>
      <c r="AK172" s="152"/>
      <c r="AL172" s="152"/>
    </row>
    <row r="173" spans="2:44" ht="15" customHeight="1">
      <c r="B173" s="168" t="s">
        <v>144</v>
      </c>
      <c r="C173" s="151" t="str">
        <f t="shared" si="101"/>
        <v>тыс. руб.</v>
      </c>
      <c r="D173" s="152"/>
      <c r="E173" s="28"/>
      <c r="F173" s="28"/>
      <c r="G173" s="28"/>
      <c r="H173" s="28"/>
      <c r="I173" s="28"/>
      <c r="J173" s="28"/>
      <c r="K173" s="28"/>
      <c r="L173" s="28"/>
      <c r="M173" s="28"/>
      <c r="N173" s="28"/>
      <c r="O173" s="28"/>
      <c r="P173" s="28"/>
      <c r="Q173" s="28"/>
      <c r="R173" s="28"/>
      <c r="S173" s="28"/>
      <c r="T173" s="28"/>
      <c r="U173" s="28"/>
      <c r="V173" s="28"/>
      <c r="W173" s="28"/>
      <c r="X173" s="28"/>
      <c r="Y173" s="28"/>
      <c r="Z173" s="28"/>
      <c r="AA173" s="28"/>
      <c r="AB173" s="28"/>
      <c r="AC173" s="28"/>
      <c r="AD173" s="28"/>
      <c r="AE173" s="28"/>
      <c r="AF173" s="28"/>
      <c r="AG173" s="28"/>
      <c r="AH173" s="28"/>
      <c r="AI173" s="28"/>
      <c r="AJ173" s="28"/>
      <c r="AK173" s="28"/>
      <c r="AL173" s="28"/>
    </row>
    <row r="174" spans="2:44" ht="15" customHeight="1">
      <c r="B174" s="169" t="s">
        <v>72</v>
      </c>
      <c r="C174" s="170" t="str">
        <f t="shared" si="101"/>
        <v>тыс. руб.</v>
      </c>
      <c r="D174" s="172"/>
      <c r="E174" s="157">
        <f>SUM(E168,E169,E170,E171,E172,E173)</f>
        <v>18263.400000000001</v>
      </c>
      <c r="F174" s="157">
        <f t="shared" ref="F174:AD174" si="103">SUM(F168,F169,F170,F171,F172,F173)</f>
        <v>19607.800000000003</v>
      </c>
      <c r="G174" s="157">
        <f t="shared" si="103"/>
        <v>31380.100000000006</v>
      </c>
      <c r="H174" s="157">
        <f t="shared" si="103"/>
        <v>28056.400000000009</v>
      </c>
      <c r="I174" s="157">
        <f t="shared" si="103"/>
        <v>33220.400000000009</v>
      </c>
      <c r="J174" s="157">
        <f t="shared" si="103"/>
        <v>54079.000000000007</v>
      </c>
      <c r="K174" s="157">
        <f t="shared" si="103"/>
        <v>57697.600000000006</v>
      </c>
      <c r="L174" s="157">
        <f t="shared" si="103"/>
        <v>60217.200000000004</v>
      </c>
      <c r="M174" s="157">
        <f t="shared" si="103"/>
        <v>62695.8</v>
      </c>
      <c r="N174" s="157">
        <f t="shared" si="103"/>
        <v>35156.700000000004</v>
      </c>
      <c r="O174" s="157">
        <f t="shared" si="103"/>
        <v>40965.33</v>
      </c>
      <c r="P174" s="157">
        <f t="shared" si="103"/>
        <v>46773.960000000006</v>
      </c>
      <c r="Q174" s="157">
        <f t="shared" si="103"/>
        <v>53118.090000000004</v>
      </c>
      <c r="R174" s="157">
        <f t="shared" si="103"/>
        <v>59463.220000000008</v>
      </c>
      <c r="S174" s="157">
        <f t="shared" si="103"/>
        <v>63748.850000000013</v>
      </c>
      <c r="T174" s="157">
        <f t="shared" si="103"/>
        <v>68042.48000000001</v>
      </c>
      <c r="U174" s="157">
        <f t="shared" si="103"/>
        <v>72610.810000000027</v>
      </c>
      <c r="V174" s="157">
        <f t="shared" si="103"/>
        <v>77803.24000000002</v>
      </c>
      <c r="W174" s="157">
        <f t="shared" si="103"/>
        <v>83767.670000000013</v>
      </c>
      <c r="X174" s="157">
        <f t="shared" si="103"/>
        <v>90809.550000000017</v>
      </c>
      <c r="Y174" s="157">
        <f t="shared" si="103"/>
        <v>99677.680000000022</v>
      </c>
      <c r="Z174" s="157">
        <f t="shared" si="103"/>
        <v>108556.81000000003</v>
      </c>
      <c r="AA174" s="157">
        <f t="shared" si="103"/>
        <v>117442.94000000003</v>
      </c>
      <c r="AB174" s="157">
        <f t="shared" si="103"/>
        <v>126340.07000000004</v>
      </c>
      <c r="AC174" s="157">
        <f t="shared" si="103"/>
        <v>135247.20000000004</v>
      </c>
      <c r="AD174" s="157">
        <f t="shared" si="103"/>
        <v>144165.33000000005</v>
      </c>
      <c r="AE174" s="157"/>
      <c r="AF174" s="157"/>
      <c r="AG174" s="157"/>
      <c r="AH174" s="157"/>
      <c r="AI174" s="157"/>
      <c r="AJ174" s="157"/>
      <c r="AK174" s="157"/>
      <c r="AL174" s="157"/>
    </row>
    <row r="175" spans="2:44" ht="15" customHeight="1"/>
    <row r="176" spans="2:44" ht="15" customHeight="1">
      <c r="B176" s="176" t="s">
        <v>76</v>
      </c>
      <c r="C176" s="177" t="str">
        <f>Единица_измерения</f>
        <v>тыс. руб.</v>
      </c>
      <c r="D176" s="172"/>
      <c r="E176" s="172">
        <f t="shared" ref="E176:AD176" si="104">SUM(E165,E174)</f>
        <v>18263.400000000001</v>
      </c>
      <c r="F176" s="172">
        <f t="shared" si="104"/>
        <v>19607.800000000003</v>
      </c>
      <c r="G176" s="172">
        <f t="shared" si="104"/>
        <v>31765.100000000006</v>
      </c>
      <c r="H176" s="172">
        <f t="shared" si="104"/>
        <v>28476.400000000009</v>
      </c>
      <c r="I176" s="172">
        <f t="shared" si="104"/>
        <v>34869.400000000009</v>
      </c>
      <c r="J176" s="172">
        <f t="shared" si="104"/>
        <v>55728.000000000007</v>
      </c>
      <c r="K176" s="172">
        <f t="shared" si="104"/>
        <v>59346.600000000006</v>
      </c>
      <c r="L176" s="172">
        <f t="shared" si="104"/>
        <v>61866.200000000004</v>
      </c>
      <c r="M176" s="172">
        <f t="shared" si="104"/>
        <v>64344.800000000003</v>
      </c>
      <c r="N176" s="172">
        <f t="shared" si="104"/>
        <v>66823.366666666669</v>
      </c>
      <c r="O176" s="172">
        <f t="shared" si="104"/>
        <v>71127.996666666673</v>
      </c>
      <c r="P176" s="172">
        <f t="shared" si="104"/>
        <v>75432.626666666678</v>
      </c>
      <c r="Q176" s="172">
        <f t="shared" si="104"/>
        <v>80272.756666666668</v>
      </c>
      <c r="R176" s="172">
        <f t="shared" si="104"/>
        <v>85113.886666666673</v>
      </c>
      <c r="S176" s="172">
        <f t="shared" si="104"/>
        <v>87895.516666666677</v>
      </c>
      <c r="T176" s="172">
        <f t="shared" si="104"/>
        <v>90685.146666666682</v>
      </c>
      <c r="U176" s="172">
        <f t="shared" si="104"/>
        <v>93749.476666666698</v>
      </c>
      <c r="V176" s="172">
        <f t="shared" si="104"/>
        <v>97437.906666666691</v>
      </c>
      <c r="W176" s="172">
        <f t="shared" si="104"/>
        <v>101898.33666666668</v>
      </c>
      <c r="X176" s="172">
        <f t="shared" si="104"/>
        <v>107436.21666666669</v>
      </c>
      <c r="Y176" s="172">
        <f t="shared" si="104"/>
        <v>114800.34666666669</v>
      </c>
      <c r="Z176" s="172">
        <f t="shared" si="104"/>
        <v>122175.4766666667</v>
      </c>
      <c r="AA176" s="172">
        <f t="shared" si="104"/>
        <v>129557.6066666667</v>
      </c>
      <c r="AB176" s="172">
        <f t="shared" si="104"/>
        <v>136950.73666666669</v>
      </c>
      <c r="AC176" s="172">
        <f t="shared" si="104"/>
        <v>144353.8666666667</v>
      </c>
      <c r="AD176" s="172">
        <f t="shared" si="104"/>
        <v>151767.9966666667</v>
      </c>
      <c r="AE176" s="172"/>
      <c r="AF176" s="172"/>
      <c r="AG176" s="172"/>
      <c r="AH176" s="172"/>
      <c r="AI176" s="172"/>
      <c r="AJ176" s="172"/>
      <c r="AK176" s="172"/>
      <c r="AL176" s="172"/>
    </row>
    <row r="177" spans="2:44" ht="15" customHeight="1">
      <c r="J177" s="178"/>
    </row>
    <row r="178" spans="2:44" ht="21">
      <c r="B178" s="166" t="s">
        <v>73</v>
      </c>
      <c r="D178" s="52"/>
      <c r="E178" s="53"/>
      <c r="F178" s="53"/>
      <c r="G178" s="53"/>
      <c r="H178" s="53"/>
      <c r="I178" s="53"/>
      <c r="J178" s="217"/>
      <c r="K178" s="53"/>
      <c r="L178" s="53"/>
      <c r="M178" s="53"/>
      <c r="N178" s="53"/>
      <c r="O178" s="53"/>
      <c r="P178" s="53"/>
      <c r="Q178" s="53"/>
      <c r="R178" s="53"/>
      <c r="S178" s="53"/>
      <c r="T178" s="53"/>
      <c r="U178" s="53"/>
      <c r="V178" s="53"/>
      <c r="W178" s="53"/>
      <c r="X178" s="53"/>
      <c r="Y178" s="53"/>
      <c r="Z178" s="53"/>
      <c r="AA178" s="53"/>
      <c r="AB178" s="53"/>
      <c r="AC178" s="53"/>
      <c r="AD178" s="53"/>
      <c r="AE178" s="53"/>
      <c r="AF178" s="53"/>
      <c r="AG178" s="53"/>
      <c r="AH178" s="53"/>
      <c r="AI178" s="53"/>
      <c r="AJ178" s="53"/>
      <c r="AK178" s="53"/>
      <c r="AL178" s="53"/>
      <c r="AM178" s="53"/>
      <c r="AN178" s="53"/>
      <c r="AO178" s="53"/>
      <c r="AP178" s="53"/>
      <c r="AQ178" s="53"/>
      <c r="AR178" s="53"/>
    </row>
    <row r="179" spans="2:44" ht="15" customHeight="1">
      <c r="B179" s="150" t="s">
        <v>74</v>
      </c>
      <c r="C179" s="151" t="str">
        <f t="shared" ref="C179:C185" si="105">Единица_измерения</f>
        <v>тыс. руб.</v>
      </c>
      <c r="D179" s="152"/>
      <c r="E179" s="28">
        <v>10</v>
      </c>
      <c r="F179" s="28">
        <v>10</v>
      </c>
      <c r="G179" s="28">
        <v>10</v>
      </c>
      <c r="H179" s="28">
        <v>10</v>
      </c>
      <c r="I179" s="28">
        <v>10</v>
      </c>
      <c r="J179" s="28">
        <v>10</v>
      </c>
      <c r="K179" s="28">
        <v>10</v>
      </c>
      <c r="L179" s="28">
        <v>10</v>
      </c>
      <c r="M179" s="28">
        <v>10</v>
      </c>
      <c r="N179" s="28">
        <v>10</v>
      </c>
      <c r="O179" s="28">
        <v>10</v>
      </c>
      <c r="P179" s="28">
        <v>10</v>
      </c>
      <c r="Q179" s="28">
        <v>10</v>
      </c>
      <c r="R179" s="28">
        <v>10</v>
      </c>
      <c r="S179" s="28">
        <v>10</v>
      </c>
      <c r="T179" s="28">
        <v>10</v>
      </c>
      <c r="U179" s="28">
        <v>10</v>
      </c>
      <c r="V179" s="28">
        <v>10</v>
      </c>
      <c r="W179" s="28">
        <v>10</v>
      </c>
      <c r="X179" s="28">
        <v>10</v>
      </c>
      <c r="Y179" s="28">
        <v>10</v>
      </c>
      <c r="Z179" s="28">
        <v>10</v>
      </c>
      <c r="AA179" s="28">
        <v>10</v>
      </c>
      <c r="AB179" s="28">
        <v>10</v>
      </c>
      <c r="AC179" s="28">
        <v>10</v>
      </c>
      <c r="AD179" s="28">
        <v>10</v>
      </c>
      <c r="AE179" s="28"/>
      <c r="AF179" s="28"/>
      <c r="AG179" s="28"/>
      <c r="AH179" s="28"/>
      <c r="AI179" s="28"/>
      <c r="AJ179" s="28"/>
      <c r="AK179" s="28"/>
      <c r="AL179" s="28"/>
    </row>
    <row r="180" spans="2:44" ht="15" customHeight="1">
      <c r="B180" s="168" t="s">
        <v>145</v>
      </c>
      <c r="C180" s="151" t="str">
        <f t="shared" si="105"/>
        <v>тыс. руб.</v>
      </c>
      <c r="D180" s="152"/>
      <c r="E180" s="28"/>
      <c r="F180" s="28"/>
      <c r="G180" s="28"/>
      <c r="H180" s="28"/>
      <c r="I180" s="28"/>
      <c r="J180" s="28"/>
      <c r="K180" s="28"/>
      <c r="L180" s="28"/>
      <c r="M180" s="28"/>
      <c r="N180" s="28"/>
      <c r="O180" s="28"/>
      <c r="P180" s="28"/>
      <c r="Q180" s="28"/>
      <c r="R180" s="28"/>
      <c r="S180" s="28"/>
      <c r="T180" s="28"/>
      <c r="U180" s="28"/>
      <c r="V180" s="28"/>
      <c r="W180" s="28"/>
      <c r="X180" s="28"/>
      <c r="Y180" s="28"/>
      <c r="Z180" s="28"/>
      <c r="AA180" s="28"/>
      <c r="AB180" s="28"/>
      <c r="AC180" s="28"/>
      <c r="AD180" s="28"/>
      <c r="AE180" s="28"/>
      <c r="AF180" s="28"/>
      <c r="AG180" s="28"/>
      <c r="AH180" s="28"/>
      <c r="AI180" s="28"/>
      <c r="AJ180" s="28"/>
      <c r="AK180" s="28"/>
      <c r="AL180" s="28"/>
    </row>
    <row r="181" spans="2:44" ht="15" customHeight="1">
      <c r="B181" s="168" t="s">
        <v>146</v>
      </c>
      <c r="C181" s="151" t="str">
        <f t="shared" si="105"/>
        <v>тыс. руб.</v>
      </c>
      <c r="D181" s="152"/>
      <c r="E181" s="28"/>
      <c r="F181" s="28"/>
      <c r="G181" s="28"/>
      <c r="H181" s="28"/>
      <c r="I181" s="28"/>
      <c r="J181" s="28"/>
      <c r="K181" s="28"/>
      <c r="L181" s="28"/>
      <c r="M181" s="28"/>
      <c r="N181" s="28"/>
      <c r="O181" s="28"/>
      <c r="P181" s="28"/>
      <c r="Q181" s="28"/>
      <c r="R181" s="28"/>
      <c r="S181" s="28"/>
      <c r="T181" s="28"/>
      <c r="U181" s="28"/>
      <c r="V181" s="28"/>
      <c r="W181" s="28"/>
      <c r="X181" s="28"/>
      <c r="Y181" s="28"/>
      <c r="Z181" s="28"/>
      <c r="AA181" s="28"/>
      <c r="AB181" s="28"/>
      <c r="AC181" s="28"/>
      <c r="AD181" s="28"/>
      <c r="AE181" s="28"/>
      <c r="AF181" s="28"/>
      <c r="AG181" s="28"/>
      <c r="AH181" s="28"/>
      <c r="AI181" s="28"/>
      <c r="AJ181" s="28"/>
      <c r="AK181" s="28"/>
      <c r="AL181" s="28"/>
    </row>
    <row r="182" spans="2:44" ht="15" customHeight="1">
      <c r="B182" s="168" t="s">
        <v>147</v>
      </c>
      <c r="C182" s="151" t="str">
        <f t="shared" si="105"/>
        <v>тыс. руб.</v>
      </c>
      <c r="D182" s="152"/>
      <c r="E182" s="28"/>
      <c r="F182" s="28"/>
      <c r="G182" s="28"/>
      <c r="H182" s="28"/>
      <c r="I182" s="28"/>
      <c r="J182" s="28"/>
      <c r="K182" s="28"/>
      <c r="L182" s="28"/>
      <c r="M182" s="28"/>
      <c r="N182" s="28"/>
      <c r="O182" s="28"/>
      <c r="P182" s="28"/>
      <c r="Q182" s="28"/>
      <c r="R182" s="28"/>
      <c r="S182" s="28"/>
      <c r="T182" s="28"/>
      <c r="U182" s="28"/>
      <c r="V182" s="28"/>
      <c r="W182" s="28"/>
      <c r="X182" s="28"/>
      <c r="Y182" s="28"/>
      <c r="Z182" s="28"/>
      <c r="AA182" s="28"/>
      <c r="AB182" s="28"/>
      <c r="AC182" s="28"/>
      <c r="AD182" s="28"/>
      <c r="AE182" s="28"/>
      <c r="AF182" s="28"/>
      <c r="AG182" s="28"/>
      <c r="AH182" s="28"/>
      <c r="AI182" s="28"/>
      <c r="AJ182" s="28"/>
      <c r="AK182" s="28"/>
      <c r="AL182" s="28"/>
    </row>
    <row r="183" spans="2:44" ht="15" customHeight="1">
      <c r="B183" s="168" t="s">
        <v>148</v>
      </c>
      <c r="C183" s="151" t="str">
        <f t="shared" si="105"/>
        <v>тыс. руб.</v>
      </c>
      <c r="D183" s="152"/>
      <c r="E183" s="28">
        <v>10125</v>
      </c>
      <c r="F183" s="28"/>
      <c r="G183" s="28"/>
      <c r="H183" s="28"/>
      <c r="I183" s="28"/>
      <c r="J183" s="28"/>
      <c r="K183" s="28"/>
      <c r="L183" s="28"/>
      <c r="M183" s="28"/>
      <c r="N183" s="28"/>
      <c r="O183" s="28"/>
      <c r="P183" s="28"/>
      <c r="Q183" s="28"/>
      <c r="R183" s="28"/>
      <c r="S183" s="28"/>
      <c r="T183" s="28"/>
      <c r="U183" s="28"/>
      <c r="V183" s="28"/>
      <c r="W183" s="28"/>
      <c r="X183" s="28"/>
      <c r="Y183" s="28"/>
      <c r="Z183" s="28"/>
      <c r="AA183" s="28"/>
      <c r="AB183" s="28"/>
      <c r="AC183" s="28"/>
      <c r="AD183" s="28"/>
      <c r="AE183" s="28"/>
      <c r="AF183" s="28"/>
      <c r="AG183" s="28"/>
      <c r="AH183" s="28"/>
      <c r="AI183" s="28"/>
      <c r="AJ183" s="28"/>
      <c r="AK183" s="28"/>
      <c r="AL183" s="28"/>
    </row>
    <row r="184" spans="2:44" ht="15" customHeight="1">
      <c r="B184" s="168" t="s">
        <v>75</v>
      </c>
      <c r="C184" s="151" t="str">
        <f t="shared" si="105"/>
        <v>тыс. руб.</v>
      </c>
      <c r="D184" s="152"/>
      <c r="E184" s="28">
        <v>2</v>
      </c>
      <c r="F184" s="28">
        <v>14607</v>
      </c>
      <c r="G184" s="28">
        <v>21551</v>
      </c>
      <c r="H184" s="28">
        <v>16322</v>
      </c>
      <c r="I184" s="28">
        <v>24531</v>
      </c>
      <c r="J184" s="152">
        <f>I184+J68</f>
        <v>25718</v>
      </c>
      <c r="K184" s="152">
        <f t="shared" ref="K184:AD184" si="106">J184+K68</f>
        <v>28336.6</v>
      </c>
      <c r="L184" s="152">
        <f t="shared" si="106"/>
        <v>30856.199999999997</v>
      </c>
      <c r="M184" s="152">
        <f t="shared" si="106"/>
        <v>33334.799999999996</v>
      </c>
      <c r="N184" s="152">
        <f t="shared" si="106"/>
        <v>35813.399999999994</v>
      </c>
      <c r="O184" s="152">
        <f t="shared" si="106"/>
        <v>40118.03</v>
      </c>
      <c r="P184" s="152">
        <f t="shared" si="106"/>
        <v>44422.66</v>
      </c>
      <c r="Q184" s="152">
        <f t="shared" si="106"/>
        <v>49262.790000000008</v>
      </c>
      <c r="R184" s="152">
        <f t="shared" si="106"/>
        <v>54103.920000000013</v>
      </c>
      <c r="S184" s="152">
        <f t="shared" si="106"/>
        <v>59385.550000000017</v>
      </c>
      <c r="T184" s="152">
        <f t="shared" si="106"/>
        <v>64675.180000000022</v>
      </c>
      <c r="U184" s="152">
        <f t="shared" si="106"/>
        <v>70239.510000000024</v>
      </c>
      <c r="V184" s="152">
        <f t="shared" si="106"/>
        <v>76427.940000000031</v>
      </c>
      <c r="W184" s="152">
        <f t="shared" si="106"/>
        <v>83388.370000000024</v>
      </c>
      <c r="X184" s="152">
        <f t="shared" si="106"/>
        <v>91426.250000000029</v>
      </c>
      <c r="Y184" s="152">
        <f t="shared" si="106"/>
        <v>101290.38000000003</v>
      </c>
      <c r="Z184" s="152">
        <f t="shared" si="106"/>
        <v>111165.51000000004</v>
      </c>
      <c r="AA184" s="152">
        <f t="shared" si="106"/>
        <v>121047.64000000004</v>
      </c>
      <c r="AB184" s="152">
        <f t="shared" si="106"/>
        <v>130940.77000000005</v>
      </c>
      <c r="AC184" s="152">
        <f t="shared" si="106"/>
        <v>140843.90000000005</v>
      </c>
      <c r="AD184" s="152">
        <f t="shared" si="106"/>
        <v>150758.03000000006</v>
      </c>
      <c r="AE184" s="152"/>
      <c r="AF184" s="152"/>
      <c r="AG184" s="152"/>
      <c r="AH184" s="152"/>
      <c r="AI184" s="152"/>
      <c r="AJ184" s="152"/>
      <c r="AK184" s="152"/>
      <c r="AL184" s="152"/>
    </row>
    <row r="185" spans="2:44" ht="15" customHeight="1">
      <c r="B185" s="169" t="s">
        <v>218</v>
      </c>
      <c r="C185" s="170" t="str">
        <f t="shared" si="105"/>
        <v>тыс. руб.</v>
      </c>
      <c r="D185" s="172"/>
      <c r="E185" s="157">
        <f>SUM(E179,E180,E181,E182,E183,E184)</f>
        <v>10137</v>
      </c>
      <c r="F185" s="157">
        <f t="shared" ref="F185:AD185" si="107">SUM(F179,F180,F181,F182,F183,F184)</f>
        <v>14617</v>
      </c>
      <c r="G185" s="157">
        <f t="shared" si="107"/>
        <v>21561</v>
      </c>
      <c r="H185" s="157">
        <f t="shared" si="107"/>
        <v>16332</v>
      </c>
      <c r="I185" s="157">
        <f t="shared" si="107"/>
        <v>24541</v>
      </c>
      <c r="J185" s="157">
        <f t="shared" si="107"/>
        <v>25728</v>
      </c>
      <c r="K185" s="157">
        <f t="shared" si="107"/>
        <v>28346.6</v>
      </c>
      <c r="L185" s="157">
        <f t="shared" si="107"/>
        <v>30866.199999999997</v>
      </c>
      <c r="M185" s="157">
        <f t="shared" si="107"/>
        <v>33344.799999999996</v>
      </c>
      <c r="N185" s="157">
        <f t="shared" si="107"/>
        <v>35823.399999999994</v>
      </c>
      <c r="O185" s="157">
        <f t="shared" si="107"/>
        <v>40128.03</v>
      </c>
      <c r="P185" s="157">
        <f t="shared" si="107"/>
        <v>44432.66</v>
      </c>
      <c r="Q185" s="157">
        <f t="shared" si="107"/>
        <v>49272.790000000008</v>
      </c>
      <c r="R185" s="157">
        <f t="shared" si="107"/>
        <v>54113.920000000013</v>
      </c>
      <c r="S185" s="157">
        <f t="shared" si="107"/>
        <v>59395.550000000017</v>
      </c>
      <c r="T185" s="157">
        <f t="shared" si="107"/>
        <v>64685.180000000022</v>
      </c>
      <c r="U185" s="157">
        <f t="shared" si="107"/>
        <v>70249.510000000024</v>
      </c>
      <c r="V185" s="157">
        <f t="shared" si="107"/>
        <v>76437.940000000031</v>
      </c>
      <c r="W185" s="157">
        <f t="shared" si="107"/>
        <v>83398.370000000024</v>
      </c>
      <c r="X185" s="157">
        <f t="shared" si="107"/>
        <v>91436.250000000029</v>
      </c>
      <c r="Y185" s="157">
        <f t="shared" si="107"/>
        <v>101300.38000000003</v>
      </c>
      <c r="Z185" s="157">
        <f t="shared" si="107"/>
        <v>111175.51000000004</v>
      </c>
      <c r="AA185" s="157">
        <f t="shared" si="107"/>
        <v>121057.64000000004</v>
      </c>
      <c r="AB185" s="157">
        <f t="shared" si="107"/>
        <v>130950.77000000005</v>
      </c>
      <c r="AC185" s="157">
        <f t="shared" si="107"/>
        <v>140853.90000000005</v>
      </c>
      <c r="AD185" s="157">
        <f t="shared" si="107"/>
        <v>150768.03000000006</v>
      </c>
      <c r="AE185" s="157"/>
      <c r="AF185" s="157"/>
      <c r="AG185" s="157"/>
      <c r="AH185" s="157"/>
      <c r="AI185" s="157"/>
      <c r="AJ185" s="157"/>
      <c r="AK185" s="157"/>
      <c r="AL185" s="157"/>
    </row>
    <row r="186" spans="2:44" ht="15" customHeight="1"/>
    <row r="187" spans="2:44" ht="21">
      <c r="B187" s="166" t="s">
        <v>149</v>
      </c>
      <c r="D187" s="52"/>
      <c r="E187" s="53"/>
      <c r="F187" s="53"/>
      <c r="G187" s="53"/>
      <c r="H187" s="53"/>
      <c r="I187" s="53"/>
      <c r="J187" s="53"/>
      <c r="K187" s="53"/>
      <c r="L187" s="53"/>
      <c r="M187" s="53"/>
      <c r="N187" s="53"/>
      <c r="O187" s="53"/>
      <c r="P187" s="53"/>
      <c r="Q187" s="53"/>
      <c r="R187" s="53"/>
      <c r="S187" s="53"/>
      <c r="T187" s="53"/>
      <c r="U187" s="53"/>
      <c r="V187" s="53"/>
      <c r="W187" s="53"/>
      <c r="X187" s="53"/>
      <c r="Y187" s="53"/>
      <c r="Z187" s="53"/>
      <c r="AA187" s="53"/>
      <c r="AB187" s="53"/>
      <c r="AC187" s="53"/>
      <c r="AD187" s="53"/>
      <c r="AE187" s="53"/>
      <c r="AF187" s="53"/>
      <c r="AG187" s="53"/>
      <c r="AH187" s="53"/>
      <c r="AI187" s="53"/>
      <c r="AJ187" s="53"/>
      <c r="AK187" s="53"/>
      <c r="AL187" s="53"/>
      <c r="AM187" s="53"/>
      <c r="AN187" s="53"/>
      <c r="AO187" s="53"/>
      <c r="AP187" s="53"/>
      <c r="AQ187" s="53"/>
      <c r="AR187" s="53"/>
    </row>
    <row r="188" spans="2:44" ht="15" customHeight="1">
      <c r="B188" s="150" t="s">
        <v>476</v>
      </c>
      <c r="C188" s="151" t="str">
        <f t="shared" ref="C188:C193" si="108">Единица_измерения</f>
        <v>тыс. руб.</v>
      </c>
      <c r="D188" s="152"/>
      <c r="E188" s="152">
        <f>D188+SUM(E120,E129)</f>
        <v>0</v>
      </c>
      <c r="F188" s="152">
        <f t="shared" ref="F188:AD188" si="109">E188+SUM(F120,F129)</f>
        <v>0</v>
      </c>
      <c r="G188" s="152">
        <f t="shared" si="109"/>
        <v>0</v>
      </c>
      <c r="H188" s="152">
        <f t="shared" si="109"/>
        <v>0</v>
      </c>
      <c r="I188" s="152">
        <f t="shared" si="109"/>
        <v>0</v>
      </c>
      <c r="J188" s="152">
        <f t="shared" si="109"/>
        <v>30000</v>
      </c>
      <c r="K188" s="152">
        <f t="shared" si="109"/>
        <v>30000</v>
      </c>
      <c r="L188" s="152">
        <f t="shared" si="109"/>
        <v>30000</v>
      </c>
      <c r="M188" s="152">
        <f t="shared" si="109"/>
        <v>30000</v>
      </c>
      <c r="N188" s="152">
        <f t="shared" si="109"/>
        <v>30000</v>
      </c>
      <c r="O188" s="152">
        <f t="shared" si="109"/>
        <v>30000</v>
      </c>
      <c r="P188" s="152">
        <f t="shared" si="109"/>
        <v>30000</v>
      </c>
      <c r="Q188" s="152">
        <f t="shared" si="109"/>
        <v>30000</v>
      </c>
      <c r="R188" s="152">
        <f t="shared" si="109"/>
        <v>30000</v>
      </c>
      <c r="S188" s="152">
        <f t="shared" si="109"/>
        <v>27500</v>
      </c>
      <c r="T188" s="152">
        <f t="shared" si="109"/>
        <v>25000</v>
      </c>
      <c r="U188" s="152">
        <f t="shared" si="109"/>
        <v>22500</v>
      </c>
      <c r="V188" s="152">
        <f t="shared" si="109"/>
        <v>20000</v>
      </c>
      <c r="W188" s="152">
        <f t="shared" si="109"/>
        <v>17500</v>
      </c>
      <c r="X188" s="152">
        <f t="shared" si="109"/>
        <v>15000</v>
      </c>
      <c r="Y188" s="152">
        <f t="shared" si="109"/>
        <v>12500</v>
      </c>
      <c r="Z188" s="152">
        <f t="shared" si="109"/>
        <v>10000</v>
      </c>
      <c r="AA188" s="152">
        <f t="shared" si="109"/>
        <v>7500</v>
      </c>
      <c r="AB188" s="152">
        <f t="shared" si="109"/>
        <v>5000</v>
      </c>
      <c r="AC188" s="152">
        <f t="shared" si="109"/>
        <v>2500</v>
      </c>
      <c r="AD188" s="152">
        <f t="shared" si="109"/>
        <v>0</v>
      </c>
      <c r="AE188" s="152"/>
      <c r="AF188" s="152"/>
      <c r="AG188" s="152"/>
      <c r="AH188" s="152"/>
      <c r="AI188" s="152"/>
      <c r="AJ188" s="152"/>
      <c r="AK188" s="152"/>
      <c r="AL188" s="152"/>
    </row>
    <row r="189" spans="2:44" ht="15" customHeight="1">
      <c r="B189" s="150" t="s">
        <v>477</v>
      </c>
      <c r="C189" s="151" t="str">
        <f t="shared" si="108"/>
        <v>тыс. руб.</v>
      </c>
      <c r="D189" s="152"/>
      <c r="E189" s="28"/>
      <c r="F189" s="28"/>
      <c r="G189" s="28"/>
      <c r="H189" s="28"/>
      <c r="I189" s="28"/>
      <c r="J189" s="28"/>
      <c r="K189" s="28"/>
      <c r="L189" s="28"/>
      <c r="M189" s="28"/>
      <c r="N189" s="28"/>
      <c r="O189" s="28"/>
      <c r="P189" s="28"/>
      <c r="Q189" s="28"/>
      <c r="R189" s="28"/>
      <c r="S189" s="28"/>
      <c r="T189" s="28"/>
      <c r="U189" s="28"/>
      <c r="V189" s="28"/>
      <c r="W189" s="28"/>
      <c r="X189" s="28"/>
      <c r="Y189" s="28"/>
      <c r="Z189" s="28"/>
      <c r="AA189" s="28"/>
      <c r="AB189" s="28"/>
      <c r="AC189" s="28"/>
      <c r="AD189" s="28"/>
      <c r="AE189" s="28"/>
      <c r="AF189" s="28"/>
      <c r="AG189" s="28"/>
      <c r="AH189" s="28"/>
      <c r="AI189" s="28"/>
      <c r="AJ189" s="28"/>
      <c r="AK189" s="28"/>
      <c r="AL189" s="28"/>
    </row>
    <row r="190" spans="2:44" ht="15" customHeight="1">
      <c r="B190" s="168" t="s">
        <v>150</v>
      </c>
      <c r="C190" s="151" t="str">
        <f t="shared" si="108"/>
        <v>тыс. руб.</v>
      </c>
      <c r="D190" s="152"/>
      <c r="E190" s="28"/>
      <c r="F190" s="28"/>
      <c r="G190" s="28"/>
      <c r="H190" s="28"/>
      <c r="I190" s="28"/>
      <c r="J190" s="28"/>
      <c r="K190" s="28"/>
      <c r="L190" s="28"/>
      <c r="M190" s="28"/>
      <c r="N190" s="28"/>
      <c r="O190" s="28"/>
      <c r="P190" s="28"/>
      <c r="Q190" s="28"/>
      <c r="R190" s="28"/>
      <c r="S190" s="28"/>
      <c r="T190" s="28"/>
      <c r="U190" s="28"/>
      <c r="V190" s="28"/>
      <c r="W190" s="28"/>
      <c r="X190" s="28"/>
      <c r="Y190" s="28"/>
      <c r="Z190" s="28"/>
      <c r="AA190" s="28"/>
      <c r="AB190" s="28"/>
      <c r="AC190" s="28"/>
      <c r="AD190" s="28"/>
      <c r="AE190" s="28"/>
      <c r="AF190" s="28"/>
      <c r="AG190" s="28"/>
      <c r="AH190" s="28"/>
      <c r="AI190" s="28"/>
      <c r="AJ190" s="28"/>
      <c r="AK190" s="28"/>
      <c r="AL190" s="28"/>
    </row>
    <row r="191" spans="2:44" ht="15" customHeight="1">
      <c r="B191" s="168" t="s">
        <v>151</v>
      </c>
      <c r="C191" s="151" t="str">
        <f t="shared" si="108"/>
        <v>тыс. руб.</v>
      </c>
      <c r="D191" s="152"/>
      <c r="E191" s="28"/>
      <c r="F191" s="28"/>
      <c r="G191" s="28"/>
      <c r="H191" s="28"/>
      <c r="I191" s="28"/>
      <c r="J191" s="28"/>
      <c r="K191" s="28"/>
      <c r="L191" s="28"/>
      <c r="M191" s="28"/>
      <c r="N191" s="28"/>
      <c r="O191" s="28"/>
      <c r="P191" s="28"/>
      <c r="Q191" s="28"/>
      <c r="R191" s="28"/>
      <c r="S191" s="28"/>
      <c r="T191" s="28"/>
      <c r="U191" s="28"/>
      <c r="V191" s="28"/>
      <c r="W191" s="28"/>
      <c r="X191" s="28"/>
      <c r="Y191" s="28"/>
      <c r="Z191" s="28"/>
      <c r="AA191" s="28"/>
      <c r="AB191" s="28"/>
      <c r="AC191" s="28"/>
      <c r="AD191" s="28"/>
      <c r="AE191" s="28"/>
      <c r="AF191" s="28"/>
      <c r="AG191" s="28"/>
      <c r="AH191" s="28"/>
      <c r="AI191" s="28"/>
      <c r="AJ191" s="28"/>
      <c r="AK191" s="28"/>
      <c r="AL191" s="28"/>
    </row>
    <row r="192" spans="2:44" ht="15" customHeight="1">
      <c r="B192" s="168" t="s">
        <v>203</v>
      </c>
      <c r="C192" s="151" t="str">
        <f t="shared" si="108"/>
        <v>тыс. руб.</v>
      </c>
      <c r="D192" s="152"/>
      <c r="E192" s="28"/>
      <c r="F192" s="28"/>
      <c r="G192" s="28"/>
      <c r="H192" s="28"/>
      <c r="I192" s="28"/>
      <c r="J192" s="28"/>
      <c r="K192" s="28"/>
      <c r="L192" s="28"/>
      <c r="M192" s="28"/>
      <c r="N192" s="28"/>
      <c r="O192" s="28"/>
      <c r="P192" s="28"/>
      <c r="Q192" s="28"/>
      <c r="R192" s="28"/>
      <c r="S192" s="28"/>
      <c r="T192" s="28"/>
      <c r="U192" s="28"/>
      <c r="V192" s="28"/>
      <c r="W192" s="28"/>
      <c r="X192" s="28"/>
      <c r="Y192" s="28"/>
      <c r="Z192" s="28"/>
      <c r="AA192" s="28"/>
      <c r="AB192" s="28"/>
      <c r="AC192" s="28"/>
      <c r="AD192" s="28"/>
      <c r="AE192" s="28"/>
      <c r="AF192" s="28"/>
      <c r="AG192" s="28"/>
      <c r="AH192" s="28"/>
      <c r="AI192" s="28"/>
      <c r="AJ192" s="28"/>
      <c r="AK192" s="28"/>
      <c r="AL192" s="28"/>
    </row>
    <row r="193" spans="2:44" ht="15" customHeight="1">
      <c r="B193" s="169" t="s">
        <v>223</v>
      </c>
      <c r="C193" s="170" t="str">
        <f t="shared" si="108"/>
        <v>тыс. руб.</v>
      </c>
      <c r="D193" s="172"/>
      <c r="E193" s="157">
        <f>SUM(E188,E189,E190,E191,E192)</f>
        <v>0</v>
      </c>
      <c r="F193" s="157">
        <f t="shared" ref="F193:AD193" si="110">SUM(F188,F189,F190,F191,F192)</f>
        <v>0</v>
      </c>
      <c r="G193" s="157">
        <f t="shared" si="110"/>
        <v>0</v>
      </c>
      <c r="H193" s="157">
        <f t="shared" si="110"/>
        <v>0</v>
      </c>
      <c r="I193" s="157">
        <f t="shared" si="110"/>
        <v>0</v>
      </c>
      <c r="J193" s="157">
        <f t="shared" si="110"/>
        <v>30000</v>
      </c>
      <c r="K193" s="157">
        <f t="shared" si="110"/>
        <v>30000</v>
      </c>
      <c r="L193" s="157">
        <f t="shared" si="110"/>
        <v>30000</v>
      </c>
      <c r="M193" s="157">
        <f t="shared" si="110"/>
        <v>30000</v>
      </c>
      <c r="N193" s="157">
        <f t="shared" si="110"/>
        <v>30000</v>
      </c>
      <c r="O193" s="157">
        <f t="shared" si="110"/>
        <v>30000</v>
      </c>
      <c r="P193" s="157">
        <f t="shared" si="110"/>
        <v>30000</v>
      </c>
      <c r="Q193" s="157">
        <f t="shared" si="110"/>
        <v>30000</v>
      </c>
      <c r="R193" s="157">
        <f t="shared" si="110"/>
        <v>30000</v>
      </c>
      <c r="S193" s="157">
        <f t="shared" si="110"/>
        <v>27500</v>
      </c>
      <c r="T193" s="157">
        <f t="shared" si="110"/>
        <v>25000</v>
      </c>
      <c r="U193" s="157">
        <f t="shared" si="110"/>
        <v>22500</v>
      </c>
      <c r="V193" s="157">
        <f t="shared" si="110"/>
        <v>20000</v>
      </c>
      <c r="W193" s="157">
        <f t="shared" si="110"/>
        <v>17500</v>
      </c>
      <c r="X193" s="157">
        <f t="shared" si="110"/>
        <v>15000</v>
      </c>
      <c r="Y193" s="157">
        <f t="shared" si="110"/>
        <v>12500</v>
      </c>
      <c r="Z193" s="157">
        <f t="shared" si="110"/>
        <v>10000</v>
      </c>
      <c r="AA193" s="157">
        <f t="shared" si="110"/>
        <v>7500</v>
      </c>
      <c r="AB193" s="157">
        <f t="shared" si="110"/>
        <v>5000</v>
      </c>
      <c r="AC193" s="157">
        <f t="shared" si="110"/>
        <v>2500</v>
      </c>
      <c r="AD193" s="157">
        <f t="shared" si="110"/>
        <v>0</v>
      </c>
      <c r="AE193" s="157"/>
      <c r="AF193" s="157"/>
      <c r="AG193" s="157"/>
      <c r="AH193" s="157"/>
      <c r="AI193" s="157"/>
      <c r="AJ193" s="157"/>
      <c r="AK193" s="157"/>
      <c r="AL193" s="157"/>
    </row>
    <row r="194" spans="2:44" ht="15" customHeight="1"/>
    <row r="195" spans="2:44" ht="21">
      <c r="B195" s="166" t="s">
        <v>114</v>
      </c>
      <c r="D195" s="52"/>
      <c r="E195" s="53"/>
      <c r="F195" s="53"/>
      <c r="G195" s="53"/>
      <c r="H195" s="53"/>
      <c r="I195" s="53"/>
      <c r="J195" s="53"/>
      <c r="K195" s="53"/>
      <c r="L195" s="53"/>
      <c r="M195" s="53"/>
      <c r="N195" s="53"/>
      <c r="O195" s="53"/>
      <c r="P195" s="53"/>
      <c r="Q195" s="53"/>
      <c r="R195" s="53"/>
      <c r="S195" s="53"/>
      <c r="T195" s="53"/>
      <c r="U195" s="53"/>
      <c r="V195" s="53"/>
      <c r="W195" s="53"/>
      <c r="X195" s="53"/>
      <c r="Y195" s="53"/>
      <c r="Z195" s="53"/>
      <c r="AA195" s="53"/>
      <c r="AB195" s="53"/>
      <c r="AC195" s="53"/>
      <c r="AD195" s="53"/>
      <c r="AE195" s="53"/>
      <c r="AF195" s="53"/>
      <c r="AG195" s="53"/>
      <c r="AH195" s="53"/>
      <c r="AI195" s="53"/>
      <c r="AJ195" s="53"/>
      <c r="AK195" s="53"/>
      <c r="AL195" s="53"/>
      <c r="AM195" s="53"/>
      <c r="AN195" s="53"/>
      <c r="AO195" s="53"/>
      <c r="AP195" s="53"/>
      <c r="AQ195" s="53"/>
      <c r="AR195" s="53"/>
    </row>
    <row r="196" spans="2:44" ht="15" customHeight="1">
      <c r="B196" s="150" t="s">
        <v>477</v>
      </c>
      <c r="C196" s="151" t="str">
        <f t="shared" ref="C196:C201" si="111">Единица_измерения</f>
        <v>тыс. руб.</v>
      </c>
      <c r="D196" s="152"/>
      <c r="E196" s="28"/>
      <c r="F196" s="28">
        <v>468</v>
      </c>
      <c r="G196" s="28">
        <v>133</v>
      </c>
      <c r="H196" s="28">
        <v>191</v>
      </c>
      <c r="I196" s="28">
        <v>365</v>
      </c>
      <c r="J196" s="28"/>
      <c r="K196" s="28"/>
      <c r="L196" s="28"/>
      <c r="M196" s="28"/>
      <c r="N196" s="28"/>
      <c r="O196" s="28"/>
      <c r="P196" s="28"/>
      <c r="Q196" s="28"/>
      <c r="R196" s="28"/>
      <c r="S196" s="28"/>
      <c r="T196" s="28"/>
      <c r="U196" s="28"/>
      <c r="V196" s="28"/>
      <c r="W196" s="28"/>
      <c r="X196" s="28"/>
      <c r="Y196" s="28"/>
      <c r="Z196" s="28"/>
      <c r="AA196" s="28"/>
      <c r="AB196" s="28"/>
      <c r="AC196" s="28"/>
      <c r="AD196" s="28"/>
      <c r="AE196" s="28"/>
      <c r="AF196" s="28"/>
      <c r="AG196" s="28"/>
      <c r="AH196" s="28"/>
      <c r="AI196" s="28"/>
      <c r="AJ196" s="28"/>
      <c r="AK196" s="28"/>
      <c r="AL196" s="28"/>
    </row>
    <row r="197" spans="2:44" ht="15" customHeight="1">
      <c r="B197" s="168" t="s">
        <v>77</v>
      </c>
      <c r="C197" s="151" t="str">
        <f t="shared" si="111"/>
        <v>тыс. руб.</v>
      </c>
      <c r="D197" s="152"/>
      <c r="E197" s="28">
        <v>7126.4</v>
      </c>
      <c r="F197" s="28">
        <v>3522.8</v>
      </c>
      <c r="G197" s="28">
        <v>9071.1</v>
      </c>
      <c r="H197" s="28">
        <v>10953.4</v>
      </c>
      <c r="I197" s="28">
        <v>8963.4</v>
      </c>
      <c r="J197" s="28"/>
      <c r="K197" s="28"/>
      <c r="L197" s="28"/>
      <c r="M197" s="28"/>
      <c r="N197" s="28"/>
      <c r="O197" s="28"/>
      <c r="P197" s="28"/>
      <c r="Q197" s="28"/>
      <c r="R197" s="28"/>
      <c r="S197" s="28"/>
      <c r="T197" s="28"/>
      <c r="U197" s="28"/>
      <c r="V197" s="28"/>
      <c r="W197" s="28"/>
      <c r="X197" s="28"/>
      <c r="Y197" s="28"/>
      <c r="Z197" s="28"/>
      <c r="AA197" s="28"/>
      <c r="AB197" s="28"/>
      <c r="AC197" s="28"/>
      <c r="AD197" s="28"/>
      <c r="AE197" s="28"/>
      <c r="AF197" s="28"/>
      <c r="AG197" s="28"/>
      <c r="AH197" s="28"/>
      <c r="AI197" s="28"/>
      <c r="AJ197" s="28"/>
      <c r="AK197" s="28"/>
      <c r="AL197" s="28"/>
    </row>
    <row r="198" spans="2:44" ht="15" customHeight="1">
      <c r="B198" s="168" t="s">
        <v>152</v>
      </c>
      <c r="C198" s="151" t="str">
        <f t="shared" si="111"/>
        <v>тыс. руб.</v>
      </c>
      <c r="D198" s="152"/>
      <c r="E198" s="28"/>
      <c r="F198" s="28"/>
      <c r="G198" s="28"/>
      <c r="H198" s="28"/>
      <c r="I198" s="28"/>
      <c r="J198" s="28"/>
      <c r="K198" s="28"/>
      <c r="L198" s="28"/>
      <c r="M198" s="28"/>
      <c r="N198" s="28"/>
      <c r="O198" s="28"/>
      <c r="P198" s="28"/>
      <c r="Q198" s="28"/>
      <c r="R198" s="28"/>
      <c r="S198" s="28"/>
      <c r="T198" s="28"/>
      <c r="U198" s="28"/>
      <c r="V198" s="28"/>
      <c r="W198" s="28"/>
      <c r="X198" s="28"/>
      <c r="Y198" s="28"/>
      <c r="Z198" s="28"/>
      <c r="AA198" s="28"/>
      <c r="AB198" s="28"/>
      <c r="AC198" s="28"/>
      <c r="AD198" s="28"/>
      <c r="AE198" s="28"/>
      <c r="AF198" s="28"/>
      <c r="AG198" s="28"/>
      <c r="AH198" s="28"/>
      <c r="AI198" s="28"/>
      <c r="AJ198" s="28"/>
      <c r="AK198" s="28"/>
      <c r="AL198" s="28"/>
    </row>
    <row r="199" spans="2:44" ht="15" customHeight="1">
      <c r="B199" s="168" t="s">
        <v>151</v>
      </c>
      <c r="C199" s="151" t="str">
        <f t="shared" si="111"/>
        <v>тыс. руб.</v>
      </c>
      <c r="D199" s="152"/>
      <c r="E199" s="28"/>
      <c r="F199" s="28"/>
      <c r="G199" s="28"/>
      <c r="H199" s="28"/>
      <c r="I199" s="28"/>
      <c r="J199" s="28"/>
      <c r="K199" s="28"/>
      <c r="L199" s="28"/>
      <c r="M199" s="28"/>
      <c r="N199" s="28"/>
      <c r="O199" s="28"/>
      <c r="P199" s="28"/>
      <c r="Q199" s="28"/>
      <c r="R199" s="28"/>
      <c r="S199" s="28"/>
      <c r="T199" s="28"/>
      <c r="U199" s="28"/>
      <c r="V199" s="28"/>
      <c r="W199" s="28"/>
      <c r="X199" s="28"/>
      <c r="Y199" s="28"/>
      <c r="Z199" s="28"/>
      <c r="AA199" s="28"/>
      <c r="AB199" s="28"/>
      <c r="AC199" s="28"/>
      <c r="AD199" s="28"/>
      <c r="AE199" s="28"/>
      <c r="AF199" s="28"/>
      <c r="AG199" s="28"/>
      <c r="AH199" s="28"/>
      <c r="AI199" s="28"/>
      <c r="AJ199" s="28"/>
      <c r="AK199" s="28"/>
      <c r="AL199" s="28"/>
    </row>
    <row r="200" spans="2:44" ht="15" customHeight="1">
      <c r="B200" s="168" t="s">
        <v>202</v>
      </c>
      <c r="C200" s="151" t="str">
        <f t="shared" si="111"/>
        <v>тыс. руб.</v>
      </c>
      <c r="D200" s="152"/>
      <c r="E200" s="28"/>
      <c r="F200" s="28"/>
      <c r="G200" s="28"/>
      <c r="H200" s="28"/>
      <c r="I200" s="28"/>
      <c r="J200" s="28"/>
      <c r="K200" s="28"/>
      <c r="L200" s="28"/>
      <c r="M200" s="28"/>
      <c r="N200" s="28"/>
      <c r="O200" s="28"/>
      <c r="P200" s="28"/>
      <c r="Q200" s="28"/>
      <c r="R200" s="28"/>
      <c r="S200" s="28"/>
      <c r="T200" s="28"/>
      <c r="U200" s="28"/>
      <c r="V200" s="28"/>
      <c r="W200" s="28"/>
      <c r="X200" s="28"/>
      <c r="Y200" s="28"/>
      <c r="Z200" s="28"/>
      <c r="AA200" s="28"/>
      <c r="AB200" s="28"/>
      <c r="AC200" s="28"/>
      <c r="AD200" s="28"/>
      <c r="AE200" s="28"/>
      <c r="AF200" s="28"/>
      <c r="AG200" s="28"/>
      <c r="AH200" s="28"/>
      <c r="AI200" s="28"/>
      <c r="AJ200" s="28"/>
      <c r="AK200" s="28"/>
      <c r="AL200" s="28"/>
    </row>
    <row r="201" spans="2:44" ht="15" customHeight="1">
      <c r="B201" s="169" t="s">
        <v>224</v>
      </c>
      <c r="C201" s="170" t="str">
        <f t="shared" si="111"/>
        <v>тыс. руб.</v>
      </c>
      <c r="D201" s="172"/>
      <c r="E201" s="157">
        <f>SUM(E196,E197,E198,E199,E200)</f>
        <v>7126.4</v>
      </c>
      <c r="F201" s="157">
        <f t="shared" ref="F201:AD201" si="112">SUM(F196,F197,F198,F199,F200)</f>
        <v>3990.8</v>
      </c>
      <c r="G201" s="157">
        <f t="shared" si="112"/>
        <v>9204.1</v>
      </c>
      <c r="H201" s="157">
        <f t="shared" si="112"/>
        <v>11144.4</v>
      </c>
      <c r="I201" s="157">
        <f t="shared" si="112"/>
        <v>9328.4</v>
      </c>
      <c r="J201" s="157">
        <f t="shared" si="112"/>
        <v>0</v>
      </c>
      <c r="K201" s="157">
        <f t="shared" si="112"/>
        <v>0</v>
      </c>
      <c r="L201" s="157">
        <f t="shared" si="112"/>
        <v>0</v>
      </c>
      <c r="M201" s="157">
        <f t="shared" si="112"/>
        <v>0</v>
      </c>
      <c r="N201" s="157">
        <f t="shared" si="112"/>
        <v>0</v>
      </c>
      <c r="O201" s="157">
        <f t="shared" si="112"/>
        <v>0</v>
      </c>
      <c r="P201" s="157">
        <f t="shared" si="112"/>
        <v>0</v>
      </c>
      <c r="Q201" s="157">
        <f t="shared" si="112"/>
        <v>0</v>
      </c>
      <c r="R201" s="157">
        <f t="shared" si="112"/>
        <v>0</v>
      </c>
      <c r="S201" s="157">
        <f t="shared" si="112"/>
        <v>0</v>
      </c>
      <c r="T201" s="157">
        <f t="shared" si="112"/>
        <v>0</v>
      </c>
      <c r="U201" s="157">
        <f t="shared" si="112"/>
        <v>0</v>
      </c>
      <c r="V201" s="157">
        <f t="shared" si="112"/>
        <v>0</v>
      </c>
      <c r="W201" s="157">
        <f t="shared" si="112"/>
        <v>0</v>
      </c>
      <c r="X201" s="157">
        <f t="shared" si="112"/>
        <v>0</v>
      </c>
      <c r="Y201" s="157">
        <f t="shared" si="112"/>
        <v>0</v>
      </c>
      <c r="Z201" s="157">
        <f t="shared" si="112"/>
        <v>0</v>
      </c>
      <c r="AA201" s="157">
        <f t="shared" si="112"/>
        <v>0</v>
      </c>
      <c r="AB201" s="157">
        <f t="shared" si="112"/>
        <v>0</v>
      </c>
      <c r="AC201" s="157">
        <f t="shared" si="112"/>
        <v>0</v>
      </c>
      <c r="AD201" s="157">
        <f t="shared" si="112"/>
        <v>0</v>
      </c>
      <c r="AE201" s="157"/>
      <c r="AF201" s="157"/>
      <c r="AG201" s="157"/>
      <c r="AH201" s="157"/>
      <c r="AI201" s="157"/>
      <c r="AJ201" s="157"/>
      <c r="AK201" s="157"/>
      <c r="AL201" s="157"/>
    </row>
    <row r="202" spans="2:44" ht="15" customHeight="1"/>
    <row r="203" spans="2:44" ht="15" customHeight="1">
      <c r="B203" s="176" t="s">
        <v>78</v>
      </c>
      <c r="C203" s="177" t="str">
        <f>Единица_измерения</f>
        <v>тыс. руб.</v>
      </c>
      <c r="D203" s="172"/>
      <c r="E203" s="172">
        <f t="shared" ref="E203:AD203" si="113">SUM(E185,E193,E201)</f>
        <v>17263.400000000001</v>
      </c>
      <c r="F203" s="172">
        <f t="shared" si="113"/>
        <v>18607.8</v>
      </c>
      <c r="G203" s="172">
        <f t="shared" si="113"/>
        <v>30765.1</v>
      </c>
      <c r="H203" s="172">
        <f t="shared" si="113"/>
        <v>27476.400000000001</v>
      </c>
      <c r="I203" s="172">
        <f t="shared" si="113"/>
        <v>33869.4</v>
      </c>
      <c r="J203" s="172">
        <f t="shared" si="113"/>
        <v>55728</v>
      </c>
      <c r="K203" s="172">
        <f t="shared" si="113"/>
        <v>58346.6</v>
      </c>
      <c r="L203" s="172">
        <f t="shared" si="113"/>
        <v>60866.2</v>
      </c>
      <c r="M203" s="172">
        <f t="shared" si="113"/>
        <v>63344.799999999996</v>
      </c>
      <c r="N203" s="172">
        <f t="shared" si="113"/>
        <v>65823.399999999994</v>
      </c>
      <c r="O203" s="172">
        <f t="shared" si="113"/>
        <v>70128.03</v>
      </c>
      <c r="P203" s="172">
        <f t="shared" si="113"/>
        <v>74432.66</v>
      </c>
      <c r="Q203" s="172">
        <f t="shared" si="113"/>
        <v>79272.790000000008</v>
      </c>
      <c r="R203" s="172">
        <f t="shared" si="113"/>
        <v>84113.920000000013</v>
      </c>
      <c r="S203" s="172">
        <f t="shared" si="113"/>
        <v>86895.550000000017</v>
      </c>
      <c r="T203" s="172">
        <f t="shared" si="113"/>
        <v>89685.180000000022</v>
      </c>
      <c r="U203" s="172">
        <f t="shared" si="113"/>
        <v>92749.510000000024</v>
      </c>
      <c r="V203" s="172">
        <f t="shared" si="113"/>
        <v>96437.940000000031</v>
      </c>
      <c r="W203" s="172">
        <f t="shared" si="113"/>
        <v>100898.37000000002</v>
      </c>
      <c r="X203" s="172">
        <f t="shared" si="113"/>
        <v>106436.25000000003</v>
      </c>
      <c r="Y203" s="172">
        <f t="shared" si="113"/>
        <v>113800.38000000003</v>
      </c>
      <c r="Z203" s="172">
        <f t="shared" si="113"/>
        <v>121175.51000000004</v>
      </c>
      <c r="AA203" s="172">
        <f t="shared" si="113"/>
        <v>128557.64000000004</v>
      </c>
      <c r="AB203" s="172">
        <f t="shared" si="113"/>
        <v>135950.77000000005</v>
      </c>
      <c r="AC203" s="172">
        <f t="shared" si="113"/>
        <v>143353.90000000005</v>
      </c>
      <c r="AD203" s="172">
        <f t="shared" si="113"/>
        <v>150768.03000000006</v>
      </c>
      <c r="AE203" s="172"/>
      <c r="AF203" s="172"/>
      <c r="AG203" s="172"/>
      <c r="AH203" s="172"/>
      <c r="AI203" s="172"/>
      <c r="AJ203" s="172"/>
      <c r="AK203" s="172"/>
      <c r="AL203" s="172"/>
    </row>
    <row r="204" spans="2:44" ht="15" customHeight="1"/>
    <row r="205" spans="2:44" ht="15" customHeight="1">
      <c r="B205" s="150" t="s">
        <v>79</v>
      </c>
      <c r="C205" s="151"/>
      <c r="D205" s="152"/>
      <c r="E205" s="152">
        <f t="shared" ref="E205:G205" si="114">ROUND(E176-E203,1)</f>
        <v>1000</v>
      </c>
      <c r="F205" s="152">
        <f t="shared" si="114"/>
        <v>1000</v>
      </c>
      <c r="G205" s="152">
        <f t="shared" si="114"/>
        <v>1000</v>
      </c>
      <c r="H205" s="152">
        <f>ROUND(H176-H203,1)</f>
        <v>1000</v>
      </c>
      <c r="I205" s="152">
        <f>ROUND(I176-I203,1)</f>
        <v>1000</v>
      </c>
      <c r="J205" s="152">
        <f>ROUND(J176-J203,1)</f>
        <v>0</v>
      </c>
      <c r="K205" s="152">
        <f t="shared" ref="K205:AB205" si="115">ROUND(K176-K203,1)</f>
        <v>1000</v>
      </c>
      <c r="L205" s="152">
        <f t="shared" si="115"/>
        <v>1000</v>
      </c>
      <c r="M205" s="152">
        <f t="shared" si="115"/>
        <v>1000</v>
      </c>
      <c r="N205" s="152">
        <f t="shared" si="115"/>
        <v>1000</v>
      </c>
      <c r="O205" s="152">
        <f t="shared" si="115"/>
        <v>1000</v>
      </c>
      <c r="P205" s="152">
        <f t="shared" si="115"/>
        <v>1000</v>
      </c>
      <c r="Q205" s="152">
        <f t="shared" si="115"/>
        <v>1000</v>
      </c>
      <c r="R205" s="152">
        <f t="shared" si="115"/>
        <v>1000</v>
      </c>
      <c r="S205" s="152">
        <f t="shared" si="115"/>
        <v>1000</v>
      </c>
      <c r="T205" s="152">
        <f t="shared" si="115"/>
        <v>1000</v>
      </c>
      <c r="U205" s="152">
        <f t="shared" si="115"/>
        <v>1000</v>
      </c>
      <c r="V205" s="152">
        <f t="shared" si="115"/>
        <v>1000</v>
      </c>
      <c r="W205" s="152">
        <f t="shared" si="115"/>
        <v>1000</v>
      </c>
      <c r="X205" s="152">
        <f t="shared" si="115"/>
        <v>1000</v>
      </c>
      <c r="Y205" s="152">
        <f t="shared" si="115"/>
        <v>1000</v>
      </c>
      <c r="Z205" s="152">
        <f t="shared" si="115"/>
        <v>1000</v>
      </c>
      <c r="AA205" s="152">
        <f t="shared" si="115"/>
        <v>1000</v>
      </c>
      <c r="AB205" s="152">
        <f t="shared" si="115"/>
        <v>1000</v>
      </c>
      <c r="AC205" s="152">
        <f t="shared" ref="AC205:AD205" si="116">ROUND(AC176-AC203,1)</f>
        <v>1000</v>
      </c>
      <c r="AD205" s="152">
        <f t="shared" si="116"/>
        <v>1000</v>
      </c>
      <c r="AE205" s="152"/>
      <c r="AF205" s="152"/>
      <c r="AG205" s="152"/>
      <c r="AH205" s="152"/>
      <c r="AI205" s="152"/>
      <c r="AJ205" s="152"/>
      <c r="AK205" s="152"/>
      <c r="AL205" s="152"/>
    </row>
    <row r="206" spans="2:44" ht="15" customHeight="1">
      <c r="E206" s="178"/>
      <c r="F206" s="178"/>
      <c r="G206" s="178"/>
      <c r="H206" s="178"/>
      <c r="I206" s="178"/>
      <c r="K206" s="178"/>
      <c r="L206" s="178"/>
      <c r="M206" s="178"/>
      <c r="N206" s="178"/>
      <c r="O206" s="178"/>
      <c r="P206" s="178"/>
      <c r="Q206" s="178"/>
      <c r="R206" s="178"/>
      <c r="S206" s="178"/>
      <c r="T206" s="178"/>
      <c r="U206" s="178"/>
      <c r="V206" s="178"/>
      <c r="W206" s="178"/>
      <c r="X206" s="178"/>
      <c r="Y206" s="178"/>
      <c r="Z206" s="178"/>
      <c r="AA206" s="178"/>
      <c r="AB206" s="178"/>
      <c r="AC206" s="178"/>
      <c r="AD206" s="178"/>
      <c r="AE206" s="178"/>
      <c r="AF206" s="178"/>
      <c r="AG206" s="178"/>
      <c r="AH206" s="178"/>
      <c r="AI206" s="178"/>
      <c r="AJ206" s="178"/>
      <c r="AK206" s="178"/>
      <c r="AL206" s="178"/>
    </row>
    <row r="207" spans="2:44" ht="21">
      <c r="B207" s="52" t="s">
        <v>467</v>
      </c>
      <c r="K207" s="178"/>
      <c r="L207" s="178"/>
      <c r="M207" s="178"/>
      <c r="N207" s="178"/>
      <c r="O207" s="178"/>
      <c r="P207" s="178"/>
      <c r="Q207" s="178"/>
      <c r="R207" s="178"/>
      <c r="S207" s="178"/>
      <c r="T207" s="178"/>
      <c r="U207" s="178"/>
      <c r="V207" s="178"/>
      <c r="W207" s="178"/>
      <c r="X207" s="178"/>
      <c r="Y207" s="178"/>
      <c r="Z207" s="178"/>
      <c r="AA207" s="178"/>
      <c r="AB207" s="178"/>
      <c r="AC207" s="178"/>
      <c r="AD207" s="178"/>
      <c r="AE207" s="178"/>
      <c r="AF207" s="178"/>
      <c r="AG207" s="178"/>
      <c r="AH207" s="178"/>
      <c r="AI207" s="178"/>
      <c r="AJ207" s="178"/>
      <c r="AK207" s="178"/>
      <c r="AL207" s="178"/>
    </row>
    <row r="208" spans="2:44" ht="15" customHeight="1">
      <c r="K208" s="178"/>
      <c r="L208" s="178"/>
      <c r="M208" s="178"/>
      <c r="N208" s="178"/>
      <c r="O208" s="178"/>
      <c r="P208" s="178"/>
      <c r="Q208" s="178"/>
      <c r="R208" s="178"/>
      <c r="S208" s="178"/>
      <c r="T208" s="178"/>
      <c r="U208" s="178"/>
      <c r="V208" s="178"/>
      <c r="W208" s="178"/>
      <c r="X208" s="178"/>
      <c r="Y208" s="178"/>
      <c r="Z208" s="178"/>
      <c r="AA208" s="178"/>
      <c r="AB208" s="178"/>
      <c r="AC208" s="178"/>
      <c r="AD208" s="178"/>
      <c r="AE208" s="178"/>
      <c r="AF208" s="178"/>
      <c r="AG208" s="178"/>
      <c r="AH208" s="178"/>
      <c r="AI208" s="178"/>
      <c r="AJ208" s="178"/>
      <c r="AK208" s="178"/>
      <c r="AL208" s="178"/>
    </row>
    <row r="209" spans="2:38" ht="15" customHeight="1">
      <c r="B209" s="150" t="s">
        <v>112</v>
      </c>
      <c r="C209" s="151"/>
      <c r="D209" s="156"/>
      <c r="E209" s="152">
        <f>SUM(E188,E189,E196)</f>
        <v>0</v>
      </c>
      <c r="F209" s="152">
        <f t="shared" ref="F209:AD209" si="117">SUM(F188,F189,F196)</f>
        <v>468</v>
      </c>
      <c r="G209" s="152">
        <f t="shared" si="117"/>
        <v>133</v>
      </c>
      <c r="H209" s="152">
        <f t="shared" si="117"/>
        <v>191</v>
      </c>
      <c r="I209" s="152">
        <f t="shared" si="117"/>
        <v>365</v>
      </c>
      <c r="J209" s="152">
        <f t="shared" si="117"/>
        <v>30000</v>
      </c>
      <c r="K209" s="152">
        <f t="shared" si="117"/>
        <v>30000</v>
      </c>
      <c r="L209" s="152">
        <f t="shared" si="117"/>
        <v>30000</v>
      </c>
      <c r="M209" s="152">
        <f t="shared" si="117"/>
        <v>30000</v>
      </c>
      <c r="N209" s="152">
        <f t="shared" si="117"/>
        <v>30000</v>
      </c>
      <c r="O209" s="152">
        <f t="shared" si="117"/>
        <v>30000</v>
      </c>
      <c r="P209" s="152">
        <f t="shared" si="117"/>
        <v>30000</v>
      </c>
      <c r="Q209" s="152">
        <f>SUM(Q188,Q189,Q196)</f>
        <v>30000</v>
      </c>
      <c r="R209" s="152">
        <f t="shared" si="117"/>
        <v>30000</v>
      </c>
      <c r="S209" s="152">
        <f t="shared" si="117"/>
        <v>27500</v>
      </c>
      <c r="T209" s="152">
        <f t="shared" si="117"/>
        <v>25000</v>
      </c>
      <c r="U209" s="152">
        <f t="shared" si="117"/>
        <v>22500</v>
      </c>
      <c r="V209" s="152">
        <f t="shared" si="117"/>
        <v>20000</v>
      </c>
      <c r="W209" s="152">
        <f t="shared" si="117"/>
        <v>17500</v>
      </c>
      <c r="X209" s="152">
        <f t="shared" si="117"/>
        <v>15000</v>
      </c>
      <c r="Y209" s="152">
        <f t="shared" si="117"/>
        <v>12500</v>
      </c>
      <c r="Z209" s="152">
        <f t="shared" si="117"/>
        <v>10000</v>
      </c>
      <c r="AA209" s="152">
        <f t="shared" si="117"/>
        <v>7500</v>
      </c>
      <c r="AB209" s="152">
        <f t="shared" si="117"/>
        <v>5000</v>
      </c>
      <c r="AC209" s="152">
        <f t="shared" si="117"/>
        <v>2500</v>
      </c>
      <c r="AD209" s="152">
        <f t="shared" si="117"/>
        <v>0</v>
      </c>
      <c r="AE209" s="152"/>
      <c r="AF209" s="152"/>
      <c r="AG209" s="152"/>
      <c r="AH209" s="152"/>
      <c r="AI209" s="152"/>
      <c r="AJ209" s="152"/>
      <c r="AK209" s="152"/>
      <c r="AL209" s="152"/>
    </row>
    <row r="210" spans="2:38" ht="15" customHeight="1">
      <c r="B210" s="150" t="s">
        <v>205</v>
      </c>
      <c r="C210" s="151"/>
      <c r="D210" s="156"/>
      <c r="E210" s="152">
        <f>E209-E172</f>
        <v>-3196.4000000000015</v>
      </c>
      <c r="F210" s="152">
        <f t="shared" ref="F210:AD210" si="118">F209-F172</f>
        <v>-3027.8000000000029</v>
      </c>
      <c r="G210" s="152">
        <f t="shared" si="118"/>
        <v>-3053.1000000000058</v>
      </c>
      <c r="H210" s="152">
        <f t="shared" si="118"/>
        <v>-3231.4000000000087</v>
      </c>
      <c r="I210" s="152">
        <f t="shared" si="118"/>
        <v>-4885.4000000000087</v>
      </c>
      <c r="J210" s="152">
        <f t="shared" si="118"/>
        <v>29840.599999999991</v>
      </c>
      <c r="K210" s="152">
        <f t="shared" si="118"/>
        <v>27527.999999999993</v>
      </c>
      <c r="L210" s="152">
        <f t="shared" si="118"/>
        <v>22800.399999999994</v>
      </c>
      <c r="M210" s="152">
        <f t="shared" si="118"/>
        <v>18113.799999999996</v>
      </c>
      <c r="N210" s="152">
        <f t="shared" si="118"/>
        <v>13427.199999999997</v>
      </c>
      <c r="O210" s="152">
        <f t="shared" si="118"/>
        <v>8162.5699999999961</v>
      </c>
      <c r="P210" s="152">
        <f t="shared" si="118"/>
        <v>2897.9399999999951</v>
      </c>
      <c r="Q210" s="152">
        <f t="shared" si="118"/>
        <v>-2902.1900000000023</v>
      </c>
      <c r="R210" s="152">
        <f t="shared" si="118"/>
        <v>-8703.320000000007</v>
      </c>
      <c r="S210" s="152">
        <f t="shared" si="118"/>
        <v>-14944.950000000012</v>
      </c>
      <c r="T210" s="152">
        <f t="shared" si="118"/>
        <v>-21194.580000000016</v>
      </c>
      <c r="U210" s="152">
        <f t="shared" si="118"/>
        <v>-27718.910000000018</v>
      </c>
      <c r="V210" s="152">
        <f t="shared" si="118"/>
        <v>-34867.340000000018</v>
      </c>
      <c r="W210" s="152">
        <f t="shared" si="118"/>
        <v>-42787.770000000019</v>
      </c>
      <c r="X210" s="152">
        <f t="shared" si="118"/>
        <v>-51785.650000000023</v>
      </c>
      <c r="Y210" s="152">
        <f t="shared" si="118"/>
        <v>-62609.780000000028</v>
      </c>
      <c r="Z210" s="152">
        <f t="shared" si="118"/>
        <v>-73444.910000000033</v>
      </c>
      <c r="AA210" s="152">
        <f t="shared" si="118"/>
        <v>-84287.040000000037</v>
      </c>
      <c r="AB210" s="152">
        <f t="shared" si="118"/>
        <v>-95140.170000000042</v>
      </c>
      <c r="AC210" s="152">
        <f t="shared" si="118"/>
        <v>-106003.30000000005</v>
      </c>
      <c r="AD210" s="152">
        <f t="shared" si="118"/>
        <v>-116877.43000000005</v>
      </c>
      <c r="AE210" s="152"/>
      <c r="AF210" s="152"/>
      <c r="AG210" s="152"/>
      <c r="AH210" s="152"/>
      <c r="AI210" s="152"/>
      <c r="AJ210" s="152"/>
      <c r="AK210" s="152"/>
      <c r="AL210" s="152"/>
    </row>
    <row r="211" spans="2:38" ht="15" customHeight="1">
      <c r="B211" s="150" t="s">
        <v>465</v>
      </c>
      <c r="C211" s="151"/>
      <c r="D211" s="156"/>
      <c r="E211" s="152">
        <f t="shared" ref="E211:AD211" si="119">IFERROR(E209/E72,"-")</f>
        <v>0</v>
      </c>
      <c r="F211" s="152">
        <f t="shared" si="119"/>
        <v>5.3025152957171993E-2</v>
      </c>
      <c r="G211" s="152">
        <f t="shared" si="119"/>
        <v>1.116614893795651E-2</v>
      </c>
      <c r="H211" s="152">
        <f t="shared" si="119"/>
        <v>2.8355106888361046E-2</v>
      </c>
      <c r="I211" s="152">
        <f t="shared" si="119"/>
        <v>2.665984953619166E-2</v>
      </c>
      <c r="J211" s="152">
        <f t="shared" si="119"/>
        <v>11.094674556213018</v>
      </c>
      <c r="K211" s="152">
        <f t="shared" si="119"/>
        <v>6.6583806818181843</v>
      </c>
      <c r="L211" s="152">
        <f t="shared" si="119"/>
        <v>6.6583806818181843</v>
      </c>
      <c r="M211" s="152">
        <f t="shared" si="119"/>
        <v>6.6583806818181843</v>
      </c>
      <c r="N211" s="152">
        <f t="shared" si="119"/>
        <v>6.6583806818181843</v>
      </c>
      <c r="O211" s="152">
        <f t="shared" si="119"/>
        <v>3.9156158676417414</v>
      </c>
      <c r="P211" s="152">
        <f t="shared" si="119"/>
        <v>3.9156158676417414</v>
      </c>
      <c r="Q211" s="152">
        <f t="shared" si="119"/>
        <v>3.6598175214983777</v>
      </c>
      <c r="R211" s="152">
        <f t="shared" si="119"/>
        <v>3.6598175214983777</v>
      </c>
      <c r="S211" s="152">
        <f t="shared" si="119"/>
        <v>3.1833751416601936</v>
      </c>
      <c r="T211" s="152">
        <f t="shared" si="119"/>
        <v>2.8939774015092667</v>
      </c>
      <c r="U211" s="152">
        <f t="shared" si="119"/>
        <v>2.5271443381296654</v>
      </c>
      <c r="V211" s="152">
        <f t="shared" si="119"/>
        <v>2.1014076278995484</v>
      </c>
      <c r="W211" s="152">
        <f t="shared" si="119"/>
        <v>1.6524352646681957</v>
      </c>
      <c r="X211" s="152">
        <f t="shared" si="119"/>
        <v>1.2865729812812212</v>
      </c>
      <c r="Y211" s="152">
        <f t="shared" si="119"/>
        <v>0.92756600003116585</v>
      </c>
      <c r="Z211" s="152">
        <f t="shared" si="119"/>
        <v>0.74205280002493268</v>
      </c>
      <c r="AA211" s="152">
        <f t="shared" si="119"/>
        <v>0.55653960001869951</v>
      </c>
      <c r="AB211" s="152">
        <f t="shared" si="119"/>
        <v>0.37102640001246634</v>
      </c>
      <c r="AC211" s="152">
        <f t="shared" si="119"/>
        <v>0.18551320000623317</v>
      </c>
      <c r="AD211" s="152">
        <f t="shared" si="119"/>
        <v>0</v>
      </c>
      <c r="AE211" s="152"/>
      <c r="AF211" s="152"/>
      <c r="AG211" s="152"/>
      <c r="AH211" s="152"/>
      <c r="AI211" s="152"/>
      <c r="AJ211" s="152"/>
      <c r="AK211" s="152"/>
      <c r="AL211" s="152"/>
    </row>
    <row r="212" spans="2:38" ht="15" customHeight="1">
      <c r="B212" s="150" t="s">
        <v>466</v>
      </c>
      <c r="C212" s="151"/>
      <c r="D212" s="156"/>
      <c r="E212" s="152">
        <f t="shared" ref="E212:AD212" si="120">IFERROR(E210/E72,"-")</f>
        <v>-8.6623306233062376</v>
      </c>
      <c r="F212" s="152">
        <f t="shared" si="120"/>
        <v>-0.34305461137548188</v>
      </c>
      <c r="G212" s="152">
        <f t="shared" si="120"/>
        <v>-0.25632608513139166</v>
      </c>
      <c r="H212" s="152">
        <f t="shared" si="120"/>
        <v>-0.4797209026128279</v>
      </c>
      <c r="I212" s="152">
        <f t="shared" si="120"/>
        <v>-0.35683295595646841</v>
      </c>
      <c r="J212" s="152">
        <f t="shared" si="120"/>
        <v>11.035724852071002</v>
      </c>
      <c r="K212" s="152">
        <f t="shared" si="120"/>
        <v>6.1097301136363642</v>
      </c>
      <c r="L212" s="152">
        <f t="shared" si="120"/>
        <v>5.0604580965909092</v>
      </c>
      <c r="M212" s="152">
        <f t="shared" si="120"/>
        <v>4.0202858664772734</v>
      </c>
      <c r="N212" s="152">
        <f t="shared" si="120"/>
        <v>2.9801136363636367</v>
      </c>
      <c r="O212" s="152">
        <f t="shared" si="120"/>
        <v>1.0653829537578812</v>
      </c>
      <c r="P212" s="152">
        <f t="shared" si="120"/>
        <v>0.37824066158245628</v>
      </c>
      <c r="Q212" s="152">
        <f t="shared" si="120"/>
        <v>-0.35404952709057952</v>
      </c>
      <c r="R212" s="152">
        <f t="shared" si="120"/>
        <v>-1.0617521010402429</v>
      </c>
      <c r="S212" s="152">
        <f t="shared" si="120"/>
        <v>-1.7300139026674379</v>
      </c>
      <c r="T212" s="152">
        <f t="shared" si="120"/>
        <v>-2.4534654221792129</v>
      </c>
      <c r="U212" s="152">
        <f t="shared" si="120"/>
        <v>-3.1133193984722585</v>
      </c>
      <c r="V212" s="152">
        <f t="shared" si="120"/>
        <v>-3.6635247120283538</v>
      </c>
      <c r="W212" s="152">
        <f t="shared" si="120"/>
        <v>-4.040229716829252</v>
      </c>
      <c r="X212" s="152">
        <f t="shared" si="120"/>
        <v>-4.44173454053906</v>
      </c>
      <c r="Y212" s="152">
        <f t="shared" si="120"/>
        <v>-4.6459762557945057</v>
      </c>
      <c r="Z212" s="152">
        <f t="shared" si="120"/>
        <v>-5.4500001113079204</v>
      </c>
      <c r="AA212" s="152">
        <f t="shared" si="120"/>
        <v>-6.2545434037813532</v>
      </c>
      <c r="AB212" s="152">
        <f t="shared" si="120"/>
        <v>-7.0599029543348131</v>
      </c>
      <c r="AC212" s="152">
        <f t="shared" si="120"/>
        <v>-7.8660045576882984</v>
      </c>
      <c r="AD212" s="152">
        <f t="shared" si="120"/>
        <v>-8.6729224191218108</v>
      </c>
      <c r="AE212" s="152"/>
      <c r="AF212" s="152"/>
      <c r="AG212" s="152"/>
      <c r="AH212" s="152"/>
      <c r="AI212" s="152"/>
      <c r="AJ212" s="152"/>
      <c r="AK212" s="152"/>
      <c r="AL212" s="152"/>
    </row>
    <row r="213" spans="2:38" ht="15" customHeight="1">
      <c r="B213" s="150" t="s">
        <v>110</v>
      </c>
      <c r="C213" s="151"/>
      <c r="D213" s="156"/>
      <c r="E213" s="152" t="str">
        <f t="shared" ref="E213:J213" si="121">IFERROR(-E70/E62,"-")</f>
        <v>-</v>
      </c>
      <c r="F213" s="152" t="str">
        <f t="shared" si="121"/>
        <v>-</v>
      </c>
      <c r="G213" s="152" t="str">
        <f t="shared" si="121"/>
        <v>-</v>
      </c>
      <c r="H213" s="152" t="str">
        <f t="shared" si="121"/>
        <v>-</v>
      </c>
      <c r="I213" s="152" t="str">
        <f t="shared" si="121"/>
        <v>-</v>
      </c>
      <c r="J213" s="152">
        <f t="shared" si="121"/>
        <v>101.30434782608695</v>
      </c>
      <c r="K213" s="152">
        <f t="shared" ref="K213:AD213" si="122">IFERROR(-K70/K62,"-")</f>
        <v>36.562831858407066</v>
      </c>
      <c r="L213" s="152">
        <f t="shared" si="122"/>
        <v>36.889285714285698</v>
      </c>
      <c r="M213" s="152">
        <f t="shared" si="122"/>
        <v>36.562831858407066</v>
      </c>
      <c r="N213" s="152">
        <f t="shared" si="122"/>
        <v>36.562831858407066</v>
      </c>
      <c r="O213" s="152">
        <f t="shared" si="122"/>
        <v>54.49230088495576</v>
      </c>
      <c r="P213" s="152">
        <f t="shared" si="122"/>
        <v>54.49230088495576</v>
      </c>
      <c r="Q213" s="152">
        <f t="shared" si="122"/>
        <v>59.231238938053103</v>
      </c>
      <c r="R213" s="152">
        <f t="shared" si="122"/>
        <v>59.760089285714294</v>
      </c>
      <c r="S213" s="152">
        <f t="shared" si="122"/>
        <v>63.138318584070802</v>
      </c>
      <c r="T213" s="152">
        <f t="shared" si="122"/>
        <v>67.94885714285715</v>
      </c>
      <c r="U213" s="152">
        <f t="shared" si="122"/>
        <v>77.887684210526331</v>
      </c>
      <c r="V213" s="152">
        <f t="shared" si="122"/>
        <v>94.275647058823537</v>
      </c>
      <c r="W213" s="152">
        <f t="shared" si="122"/>
        <v>119.55828947368421</v>
      </c>
      <c r="X213" s="152">
        <f t="shared" si="122"/>
        <v>151.56537313432833</v>
      </c>
      <c r="Y213" s="152">
        <f t="shared" si="122"/>
        <v>206.4160344827587</v>
      </c>
      <c r="Z213" s="152">
        <f t="shared" si="122"/>
        <v>254.72617021276605</v>
      </c>
      <c r="AA213" s="152">
        <f t="shared" si="122"/>
        <v>299.30325000000011</v>
      </c>
      <c r="AB213" s="152">
        <f t="shared" si="122"/>
        <v>412.83206896551741</v>
      </c>
      <c r="AC213" s="152">
        <f t="shared" si="122"/>
        <v>630.11210526315813</v>
      </c>
      <c r="AD213" s="152">
        <f t="shared" si="122"/>
        <v>1496.5162500000006</v>
      </c>
      <c r="AE213" s="152"/>
      <c r="AF213" s="152"/>
      <c r="AG213" s="152"/>
      <c r="AH213" s="152"/>
      <c r="AI213" s="152"/>
      <c r="AJ213" s="152"/>
      <c r="AK213" s="152"/>
      <c r="AL213" s="152"/>
    </row>
    <row r="214" spans="2:38" ht="15" customHeight="1">
      <c r="K214" s="178"/>
      <c r="L214" s="178"/>
      <c r="M214" s="178"/>
      <c r="N214" s="178"/>
      <c r="O214" s="178"/>
      <c r="P214" s="178"/>
      <c r="Q214" s="178"/>
      <c r="R214" s="178"/>
      <c r="S214" s="178"/>
      <c r="T214" s="178"/>
      <c r="U214" s="178"/>
      <c r="V214" s="178"/>
      <c r="W214" s="178"/>
      <c r="X214" s="178"/>
      <c r="Y214" s="178"/>
      <c r="Z214" s="178"/>
      <c r="AA214" s="178"/>
      <c r="AB214" s="178"/>
      <c r="AC214" s="178"/>
      <c r="AD214" s="178"/>
      <c r="AE214" s="178"/>
      <c r="AF214" s="178"/>
      <c r="AG214" s="178"/>
      <c r="AH214" s="178"/>
      <c r="AI214" s="178"/>
      <c r="AJ214" s="178"/>
      <c r="AK214" s="178"/>
      <c r="AL214" s="178"/>
    </row>
    <row r="215" spans="2:38" ht="15" customHeight="1">
      <c r="K215" s="178"/>
      <c r="L215" s="178"/>
      <c r="M215" s="178"/>
      <c r="N215" s="178"/>
      <c r="O215" s="178"/>
      <c r="P215" s="178"/>
      <c r="Q215" s="178"/>
      <c r="R215" s="178"/>
      <c r="S215" s="178"/>
      <c r="T215" s="178"/>
      <c r="U215" s="178"/>
      <c r="V215" s="178"/>
      <c r="W215" s="178"/>
      <c r="X215" s="178"/>
      <c r="Y215" s="178"/>
      <c r="Z215" s="178"/>
      <c r="AA215" s="178"/>
      <c r="AB215" s="178"/>
      <c r="AC215" s="178"/>
      <c r="AD215" s="178"/>
      <c r="AE215" s="178"/>
      <c r="AF215" s="178"/>
      <c r="AG215" s="178"/>
      <c r="AH215" s="178"/>
      <c r="AI215" s="178"/>
      <c r="AJ215" s="178"/>
      <c r="AK215" s="178"/>
      <c r="AL215" s="178"/>
    </row>
    <row r="216" spans="2:38" ht="15" customHeight="1">
      <c r="K216" s="178"/>
      <c r="L216" s="178"/>
      <c r="M216" s="178"/>
      <c r="N216" s="178"/>
      <c r="O216" s="178"/>
      <c r="P216" s="178"/>
      <c r="Q216" s="178"/>
      <c r="R216" s="178"/>
      <c r="S216" s="178"/>
      <c r="T216" s="178"/>
      <c r="U216" s="178"/>
      <c r="V216" s="178"/>
      <c r="W216" s="178"/>
      <c r="X216" s="178"/>
      <c r="Y216" s="178"/>
      <c r="Z216" s="178"/>
      <c r="AA216" s="178"/>
      <c r="AB216" s="178"/>
      <c r="AC216" s="178"/>
      <c r="AD216" s="178"/>
      <c r="AE216" s="178"/>
      <c r="AF216" s="178"/>
      <c r="AG216" s="178"/>
      <c r="AH216" s="178"/>
      <c r="AI216" s="178"/>
      <c r="AJ216" s="178"/>
      <c r="AK216" s="178"/>
      <c r="AL216" s="178"/>
    </row>
    <row r="217" spans="2:38" ht="15" customHeight="1">
      <c r="B217" s="309" t="s">
        <v>419</v>
      </c>
      <c r="C217" s="310"/>
      <c r="D217" s="32" t="str">
        <f ca="1">IFERROR(IF(COUNTIF(OFFSET(J205,,,,MAX(SUM($J$12:$AL$12),1)),"&lt;&gt;0")&gt;0,"Q","R"),"Q")</f>
        <v>Q</v>
      </c>
    </row>
    <row r="218" spans="2:38" ht="15" customHeight="1">
      <c r="B218" s="309" t="s">
        <v>420</v>
      </c>
      <c r="C218" s="310"/>
      <c r="D218" s="32" t="str">
        <f>IFERROR(IF(COUNTIF(J205:AL205,"&lt;&gt;0")&gt;0,"Q","R"),"Q")</f>
        <v>Q</v>
      </c>
    </row>
    <row r="219" spans="2:38" ht="15" customHeight="1"/>
    <row r="220" spans="2:38" ht="21">
      <c r="B220" s="181" t="s">
        <v>489</v>
      </c>
      <c r="C220"/>
      <c r="D220"/>
      <c r="E220"/>
      <c r="F220"/>
      <c r="G220"/>
      <c r="H220"/>
      <c r="I220"/>
      <c r="J220"/>
      <c r="K220"/>
    </row>
    <row r="221" spans="2:38" ht="15" customHeight="1">
      <c r="B221" s="182" t="s">
        <v>490</v>
      </c>
      <c r="C221"/>
      <c r="D221"/>
      <c r="E221"/>
      <c r="F221"/>
      <c r="G221"/>
      <c r="H221"/>
      <c r="I221"/>
      <c r="J221"/>
      <c r="K221"/>
    </row>
    <row r="222" spans="2:38" ht="15" customHeight="1">
      <c r="B222" s="121" t="s">
        <v>491</v>
      </c>
      <c r="C222" s="183"/>
      <c r="D222" s="184"/>
      <c r="E222"/>
      <c r="F222"/>
      <c r="G222"/>
      <c r="H222"/>
      <c r="I222"/>
      <c r="J222"/>
      <c r="K222"/>
    </row>
    <row r="223" spans="2:38" ht="15" customHeight="1">
      <c r="B223" s="121" t="s">
        <v>492</v>
      </c>
      <c r="C223" s="185" t="str">
        <f>IF(OR(AND(Программа&lt;&gt;"Производительность труда",Программа&lt;&gt;"Производительность труда с РФРП"),ISBLANK(C222)),"",YEAR(C222)-IF(MONTH(C222)&gt;3,0,1))</f>
        <v/>
      </c>
      <c r="D223" s="184"/>
      <c r="E223"/>
      <c r="F223"/>
      <c r="G223"/>
      <c r="H223"/>
      <c r="I223"/>
      <c r="J223"/>
      <c r="K223"/>
    </row>
    <row r="224" spans="2:38" ht="15" customHeight="1">
      <c r="B224"/>
      <c r="C224"/>
      <c r="D224"/>
      <c r="E224"/>
      <c r="F224"/>
      <c r="G224"/>
      <c r="H224"/>
      <c r="I224"/>
      <c r="J224"/>
      <c r="K224"/>
    </row>
    <row r="225" spans="2:11" ht="15" customHeight="1">
      <c r="B225" s="182" t="s">
        <v>195</v>
      </c>
      <c r="C225"/>
      <c r="D225"/>
      <c r="E225"/>
      <c r="F225"/>
      <c r="G225"/>
      <c r="H225"/>
      <c r="I225"/>
      <c r="J225"/>
      <c r="K225"/>
    </row>
    <row r="226" spans="2:11" ht="15" customHeight="1">
      <c r="B226" s="304" t="s">
        <v>8</v>
      </c>
      <c r="C226" s="304" t="s">
        <v>12</v>
      </c>
      <c r="D226" s="179" t="str">
        <f>IF(ISNUMBER(C226),C226+1,$C$223)</f>
        <v/>
      </c>
      <c r="E226" s="179" t="str">
        <f t="shared" ref="E226:K226" si="123">IF(ISNUMBER(D226),D226+1,$C$223)</f>
        <v/>
      </c>
      <c r="F226" s="179" t="str">
        <f t="shared" si="123"/>
        <v/>
      </c>
      <c r="G226" s="179" t="str">
        <f t="shared" si="123"/>
        <v/>
      </c>
      <c r="H226" s="179" t="str">
        <f t="shared" si="123"/>
        <v/>
      </c>
      <c r="I226" s="179" t="str">
        <f t="shared" si="123"/>
        <v/>
      </c>
      <c r="J226" s="179" t="str">
        <f t="shared" si="123"/>
        <v/>
      </c>
      <c r="K226" s="179" t="str">
        <f t="shared" si="123"/>
        <v/>
      </c>
    </row>
    <row r="227" spans="2:11" ht="15" customHeight="1">
      <c r="B227" s="305"/>
      <c r="C227" s="305"/>
      <c r="D227" s="179" t="s">
        <v>493</v>
      </c>
      <c r="E227" s="179" t="s">
        <v>494</v>
      </c>
      <c r="F227" s="179" t="s">
        <v>495</v>
      </c>
      <c r="G227" s="179" t="s">
        <v>496</v>
      </c>
      <c r="H227" s="179" t="s">
        <v>497</v>
      </c>
      <c r="I227" s="179" t="s">
        <v>498</v>
      </c>
      <c r="J227" s="179" t="s">
        <v>499</v>
      </c>
      <c r="K227" s="179" t="s">
        <v>500</v>
      </c>
    </row>
    <row r="228" spans="2:11" ht="15" customHeight="1">
      <c r="B228" s="180" t="s">
        <v>501</v>
      </c>
      <c r="C228" s="186" t="s">
        <v>94</v>
      </c>
      <c r="D228" s="187"/>
      <c r="E228" s="188">
        <v>0.1</v>
      </c>
      <c r="F228" s="188">
        <v>0.15</v>
      </c>
      <c r="G228" s="188">
        <v>0.3</v>
      </c>
      <c r="H228" s="187"/>
      <c r="I228" s="187"/>
      <c r="J228" s="187"/>
      <c r="K228" s="187"/>
    </row>
    <row r="229" spans="2:11" ht="15" customHeight="1">
      <c r="B229" s="180" t="s">
        <v>502</v>
      </c>
      <c r="C229" s="186" t="s">
        <v>94</v>
      </c>
      <c r="D229" s="187"/>
      <c r="E229" s="187"/>
      <c r="F229" s="187"/>
      <c r="G229" s="187"/>
      <c r="H229" s="188">
        <v>0.05</v>
      </c>
      <c r="I229" s="188">
        <v>0.05</v>
      </c>
      <c r="J229" s="188">
        <v>0.05</v>
      </c>
      <c r="K229" s="188">
        <v>0.05</v>
      </c>
    </row>
    <row r="230" spans="2:11" ht="15" customHeight="1">
      <c r="B230"/>
      <c r="C230"/>
      <c r="D230"/>
      <c r="E230"/>
      <c r="F230"/>
      <c r="G230"/>
      <c r="H230"/>
      <c r="I230"/>
      <c r="J230"/>
      <c r="K230"/>
    </row>
    <row r="231" spans="2:11" ht="15" customHeight="1">
      <c r="B231" s="9" t="s">
        <v>503</v>
      </c>
      <c r="C231" s="5"/>
      <c r="D231" s="5"/>
      <c r="E231" s="5"/>
      <c r="F231"/>
      <c r="G231"/>
      <c r="H231"/>
      <c r="I231"/>
      <c r="J231"/>
      <c r="K231"/>
    </row>
    <row r="232" spans="2:11" ht="15" customHeight="1">
      <c r="B232" s="189" t="s">
        <v>504</v>
      </c>
      <c r="C232"/>
      <c r="D232"/>
      <c r="E232"/>
      <c r="F232"/>
      <c r="G232"/>
      <c r="H232"/>
      <c r="I232"/>
      <c r="J232"/>
      <c r="K232"/>
    </row>
    <row r="233" spans="2:11" ht="15" customHeight="1">
      <c r="B233" s="304" t="s">
        <v>8</v>
      </c>
      <c r="C233" s="304" t="s">
        <v>12</v>
      </c>
      <c r="D233" s="179" t="str">
        <f>IF(ISNUMBER(C233),C233+1,$C$223)</f>
        <v/>
      </c>
      <c r="E233" s="179" t="str">
        <f t="shared" ref="E233:K233" si="124">IF(ISNUMBER(D233),D233+1,$C$223)</f>
        <v/>
      </c>
      <c r="F233" s="179" t="str">
        <f t="shared" si="124"/>
        <v/>
      </c>
      <c r="G233" s="179" t="str">
        <f t="shared" si="124"/>
        <v/>
      </c>
      <c r="H233" s="179" t="str">
        <f t="shared" si="124"/>
        <v/>
      </c>
      <c r="I233" s="179" t="str">
        <f t="shared" si="124"/>
        <v/>
      </c>
      <c r="J233" s="179" t="str">
        <f t="shared" si="124"/>
        <v/>
      </c>
      <c r="K233" s="179" t="str">
        <f t="shared" si="124"/>
        <v/>
      </c>
    </row>
    <row r="234" spans="2:11" ht="15" customHeight="1">
      <c r="B234" s="305"/>
      <c r="C234" s="305"/>
      <c r="D234" s="179" t="s">
        <v>493</v>
      </c>
      <c r="E234" s="179" t="s">
        <v>494</v>
      </c>
      <c r="F234" s="179" t="s">
        <v>495</v>
      </c>
      <c r="G234" s="179" t="s">
        <v>496</v>
      </c>
      <c r="H234" s="179" t="s">
        <v>497</v>
      </c>
      <c r="I234" s="179" t="s">
        <v>498</v>
      </c>
      <c r="J234" s="179" t="s">
        <v>499</v>
      </c>
      <c r="K234" s="179" t="s">
        <v>500</v>
      </c>
    </row>
    <row r="235" spans="2:11" ht="15" customHeight="1">
      <c r="B235" s="180" t="s">
        <v>505</v>
      </c>
      <c r="C235" s="186" t="str">
        <f t="shared" ref="C235:C242" si="125">Единица_измерения</f>
        <v>тыс. руб.</v>
      </c>
      <c r="D235" s="38"/>
      <c r="E235" s="38"/>
      <c r="F235" s="38"/>
      <c r="G235" s="38"/>
      <c r="H235" s="38"/>
      <c r="I235" s="38"/>
      <c r="J235" s="38"/>
      <c r="K235" s="38"/>
    </row>
    <row r="236" spans="2:11" ht="15" customHeight="1">
      <c r="B236" s="42" t="s">
        <v>506</v>
      </c>
      <c r="C236" s="186" t="str">
        <f t="shared" si="125"/>
        <v>тыс. руб.</v>
      </c>
      <c r="D236" s="38"/>
      <c r="E236" s="38"/>
      <c r="F236" s="38"/>
      <c r="G236" s="38"/>
      <c r="H236" s="38"/>
      <c r="I236" s="38"/>
      <c r="J236" s="38"/>
      <c r="K236" s="38"/>
    </row>
    <row r="237" spans="2:11" ht="15" customHeight="1">
      <c r="B237" s="42" t="s">
        <v>507</v>
      </c>
      <c r="C237" s="186" t="str">
        <f t="shared" si="125"/>
        <v>тыс. руб.</v>
      </c>
      <c r="D237" s="38"/>
      <c r="E237" s="38"/>
      <c r="F237" s="38"/>
      <c r="G237" s="38"/>
      <c r="H237" s="38"/>
      <c r="I237" s="38"/>
      <c r="J237" s="38"/>
      <c r="K237" s="38"/>
    </row>
    <row r="238" spans="2:11" ht="15" customHeight="1">
      <c r="B238" s="42" t="s">
        <v>508</v>
      </c>
      <c r="C238" s="186" t="str">
        <f t="shared" si="125"/>
        <v>тыс. руб.</v>
      </c>
      <c r="D238" s="38"/>
      <c r="E238" s="38"/>
      <c r="F238" s="38"/>
      <c r="G238" s="38"/>
      <c r="H238" s="38"/>
      <c r="I238" s="38"/>
      <c r="J238" s="38"/>
      <c r="K238" s="38"/>
    </row>
    <row r="239" spans="2:11" ht="15" customHeight="1">
      <c r="B239" s="42" t="s">
        <v>509</v>
      </c>
      <c r="C239" s="186" t="str">
        <f t="shared" si="125"/>
        <v>тыс. руб.</v>
      </c>
      <c r="D239" s="38"/>
      <c r="E239" s="38"/>
      <c r="F239" s="38"/>
      <c r="G239" s="38"/>
      <c r="H239" s="38"/>
      <c r="I239" s="38"/>
      <c r="J239" s="38"/>
      <c r="K239" s="38"/>
    </row>
    <row r="240" spans="2:11" ht="15" customHeight="1">
      <c r="B240" s="42" t="s">
        <v>510</v>
      </c>
      <c r="C240" s="186" t="str">
        <f t="shared" si="125"/>
        <v>тыс. руб.</v>
      </c>
      <c r="D240" s="38"/>
      <c r="E240" s="38"/>
      <c r="F240" s="38"/>
      <c r="G240" s="38"/>
      <c r="H240" s="38"/>
      <c r="I240" s="38"/>
      <c r="J240" s="38"/>
      <c r="K240" s="38"/>
    </row>
    <row r="241" spans="2:11" ht="15" customHeight="1">
      <c r="B241" s="42" t="s">
        <v>511</v>
      </c>
      <c r="C241" s="186" t="str">
        <f t="shared" si="125"/>
        <v>тыс. руб.</v>
      </c>
      <c r="D241" s="38"/>
      <c r="E241" s="38"/>
      <c r="F241" s="38"/>
      <c r="G241" s="38"/>
      <c r="H241" s="38"/>
      <c r="I241" s="38"/>
      <c r="J241" s="38"/>
      <c r="K241" s="38"/>
    </row>
    <row r="242" spans="2:11" ht="15" customHeight="1">
      <c r="B242" s="190" t="s">
        <v>512</v>
      </c>
      <c r="C242" s="191" t="str">
        <f t="shared" si="125"/>
        <v>тыс. руб.</v>
      </c>
      <c r="D242" s="192">
        <f>SUM(D235,-D236,-D237,D238:D241)</f>
        <v>0</v>
      </c>
      <c r="E242" s="192">
        <f t="shared" ref="E242:K242" si="126">SUM(E235,-E236,-E237,E238:E241)</f>
        <v>0</v>
      </c>
      <c r="F242" s="192">
        <f t="shared" si="126"/>
        <v>0</v>
      </c>
      <c r="G242" s="192">
        <f t="shared" si="126"/>
        <v>0</v>
      </c>
      <c r="H242" s="192">
        <f t="shared" si="126"/>
        <v>0</v>
      </c>
      <c r="I242" s="192">
        <f t="shared" si="126"/>
        <v>0</v>
      </c>
      <c r="J242" s="192">
        <f t="shared" si="126"/>
        <v>0</v>
      </c>
      <c r="K242" s="192">
        <f t="shared" si="126"/>
        <v>0</v>
      </c>
    </row>
    <row r="243" spans="2:11" ht="15" customHeight="1">
      <c r="B243" s="42" t="s">
        <v>513</v>
      </c>
      <c r="C243" s="186" t="s">
        <v>514</v>
      </c>
      <c r="D243" s="193"/>
      <c r="E243" s="193"/>
      <c r="F243" s="193"/>
      <c r="G243" s="193"/>
      <c r="H243" s="193"/>
      <c r="I243" s="193"/>
      <c r="J243" s="193"/>
      <c r="K243" s="193"/>
    </row>
    <row r="244" spans="2:11" ht="15" customHeight="1">
      <c r="B244" s="194" t="s">
        <v>18</v>
      </c>
      <c r="C244" s="195" t="str">
        <f>Единица_измерения&amp;"/чел."</f>
        <v>тыс. руб./чел.</v>
      </c>
      <c r="D244" s="196" t="str">
        <f>IFERROR(D242/D243,"-")</f>
        <v>-</v>
      </c>
      <c r="E244" s="196" t="str">
        <f t="shared" ref="E244:K244" si="127">IFERROR(E242/E243,"-")</f>
        <v>-</v>
      </c>
      <c r="F244" s="196" t="str">
        <f t="shared" si="127"/>
        <v>-</v>
      </c>
      <c r="G244" s="196" t="str">
        <f t="shared" si="127"/>
        <v>-</v>
      </c>
      <c r="H244" s="196" t="str">
        <f t="shared" si="127"/>
        <v>-</v>
      </c>
      <c r="I244" s="196" t="str">
        <f t="shared" si="127"/>
        <v>-</v>
      </c>
      <c r="J244" s="196" t="str">
        <f t="shared" si="127"/>
        <v>-</v>
      </c>
      <c r="K244" s="196" t="str">
        <f t="shared" si="127"/>
        <v>-</v>
      </c>
    </row>
    <row r="245" spans="2:11" ht="15" customHeight="1">
      <c r="B245" s="180" t="s">
        <v>501</v>
      </c>
      <c r="C245" s="186" t="s">
        <v>94</v>
      </c>
      <c r="D245" s="197"/>
      <c r="E245" s="198" t="str">
        <f>IFERROR(E244/$D$244-1,"-")</f>
        <v>-</v>
      </c>
      <c r="F245" s="198" t="str">
        <f t="shared" ref="F245:K245" si="128">IFERROR(F244/$D$244-1,"-")</f>
        <v>-</v>
      </c>
      <c r="G245" s="198" t="str">
        <f t="shared" si="128"/>
        <v>-</v>
      </c>
      <c r="H245" s="198" t="str">
        <f t="shared" si="128"/>
        <v>-</v>
      </c>
      <c r="I245" s="198" t="str">
        <f t="shared" si="128"/>
        <v>-</v>
      </c>
      <c r="J245" s="198" t="str">
        <f t="shared" si="128"/>
        <v>-</v>
      </c>
      <c r="K245" s="198" t="str">
        <f t="shared" si="128"/>
        <v>-</v>
      </c>
    </row>
    <row r="246" spans="2:11" ht="15" customHeight="1">
      <c r="B246" s="180" t="s">
        <v>502</v>
      </c>
      <c r="C246" s="186" t="s">
        <v>94</v>
      </c>
      <c r="D246" s="197"/>
      <c r="E246" s="198" t="str">
        <f>IFERROR(E244/D244-1,"-")</f>
        <v>-</v>
      </c>
      <c r="F246" s="198" t="str">
        <f t="shared" ref="F246:K246" si="129">IFERROR(F244/E244-1,"-")</f>
        <v>-</v>
      </c>
      <c r="G246" s="198" t="str">
        <f t="shared" si="129"/>
        <v>-</v>
      </c>
      <c r="H246" s="198" t="str">
        <f t="shared" si="129"/>
        <v>-</v>
      </c>
      <c r="I246" s="198" t="str">
        <f t="shared" si="129"/>
        <v>-</v>
      </c>
      <c r="J246" s="198" t="str">
        <f t="shared" si="129"/>
        <v>-</v>
      </c>
      <c r="K246" s="198" t="str">
        <f t="shared" si="129"/>
        <v>-</v>
      </c>
    </row>
    <row r="247" spans="2:11" ht="15" customHeight="1">
      <c r="B247"/>
      <c r="C247"/>
      <c r="D247" s="25"/>
      <c r="E247" s="25"/>
      <c r="F247" s="25"/>
      <c r="G247" s="25"/>
      <c r="H247" s="25"/>
      <c r="I247" s="25"/>
      <c r="J247" s="25"/>
      <c r="K247" s="25"/>
    </row>
    <row r="248" spans="2:11" ht="15" customHeight="1">
      <c r="B248" s="42" t="s">
        <v>195</v>
      </c>
      <c r="C248" s="185" t="s">
        <v>94</v>
      </c>
      <c r="D248" s="199"/>
      <c r="E248" s="200" t="str">
        <f>IF(ISBLANK(E$228),E246,E245)</f>
        <v>-</v>
      </c>
      <c r="F248" s="200" t="str">
        <f t="shared" ref="F248:K248" si="130">IF(ISBLANK(F$228),F246,F245)</f>
        <v>-</v>
      </c>
      <c r="G248" s="200" t="str">
        <f t="shared" si="130"/>
        <v>-</v>
      </c>
      <c r="H248" s="200" t="str">
        <f t="shared" si="130"/>
        <v>-</v>
      </c>
      <c r="I248" s="200" t="str">
        <f t="shared" si="130"/>
        <v>-</v>
      </c>
      <c r="J248" s="200" t="str">
        <f t="shared" si="130"/>
        <v>-</v>
      </c>
      <c r="K248" s="200" t="str">
        <f t="shared" si="130"/>
        <v>-</v>
      </c>
    </row>
    <row r="249" spans="2:11" ht="15" customHeight="1">
      <c r="B249" s="42" t="s">
        <v>515</v>
      </c>
      <c r="C249" s="185" t="s">
        <v>94</v>
      </c>
      <c r="D249" s="199"/>
      <c r="E249" s="201" t="str">
        <f t="shared" ref="E249:K249" si="131">IF(AND(Программа&lt;&gt;"Производительность труда",Программа&lt;&gt;"Производительность труда с РФРП"),"",IF(ISBLANK(E$228),IF(E246&gt;E$229,"R","Q"),IF(E245&gt;E$228,"R","Q")))</f>
        <v/>
      </c>
      <c r="F249" s="201" t="str">
        <f t="shared" si="131"/>
        <v/>
      </c>
      <c r="G249" s="201" t="str">
        <f t="shared" si="131"/>
        <v/>
      </c>
      <c r="H249" s="201" t="str">
        <f t="shared" si="131"/>
        <v/>
      </c>
      <c r="I249" s="201" t="str">
        <f t="shared" si="131"/>
        <v/>
      </c>
      <c r="J249" s="201" t="str">
        <f t="shared" si="131"/>
        <v/>
      </c>
      <c r="K249" s="201" t="str">
        <f t="shared" si="131"/>
        <v/>
      </c>
    </row>
    <row r="250" spans="2:11" ht="15" customHeight="1">
      <c r="B250"/>
      <c r="C250"/>
      <c r="D250"/>
      <c r="E250"/>
      <c r="F250"/>
      <c r="G250"/>
      <c r="H250"/>
      <c r="I250"/>
      <c r="J250"/>
      <c r="K250"/>
    </row>
    <row r="251" spans="2:11" ht="15" customHeight="1">
      <c r="B251" s="189" t="s">
        <v>516</v>
      </c>
      <c r="C251"/>
      <c r="D251"/>
      <c r="E251"/>
      <c r="F251"/>
      <c r="G251"/>
      <c r="H251"/>
      <c r="I251"/>
      <c r="J251"/>
      <c r="K251"/>
    </row>
    <row r="252" spans="2:11" ht="15" customHeight="1">
      <c r="B252" s="304" t="s">
        <v>8</v>
      </c>
      <c r="C252" s="304" t="s">
        <v>12</v>
      </c>
      <c r="D252" s="179" t="str">
        <f>IF(ISNUMBER(C252),C252+1,$C$223)</f>
        <v/>
      </c>
      <c r="E252" s="179" t="str">
        <f t="shared" ref="E252:K252" si="132">IF(ISNUMBER(D252),D252+1,$C$223)</f>
        <v/>
      </c>
      <c r="F252" s="179" t="str">
        <f t="shared" si="132"/>
        <v/>
      </c>
      <c r="G252" s="179" t="str">
        <f t="shared" si="132"/>
        <v/>
      </c>
      <c r="H252" s="179" t="str">
        <f t="shared" si="132"/>
        <v/>
      </c>
      <c r="I252" s="179" t="str">
        <f t="shared" si="132"/>
        <v/>
      </c>
      <c r="J252" s="179" t="str">
        <f t="shared" si="132"/>
        <v/>
      </c>
      <c r="K252" s="179" t="str">
        <f t="shared" si="132"/>
        <v/>
      </c>
    </row>
    <row r="253" spans="2:11" ht="15" customHeight="1">
      <c r="B253" s="305"/>
      <c r="C253" s="305"/>
      <c r="D253" s="179" t="s">
        <v>493</v>
      </c>
      <c r="E253" s="179" t="s">
        <v>494</v>
      </c>
      <c r="F253" s="179" t="s">
        <v>495</v>
      </c>
      <c r="G253" s="179" t="s">
        <v>496</v>
      </c>
      <c r="H253" s="179" t="s">
        <v>497</v>
      </c>
      <c r="I253" s="179" t="s">
        <v>498</v>
      </c>
      <c r="J253" s="179" t="s">
        <v>499</v>
      </c>
      <c r="K253" s="179" t="s">
        <v>500</v>
      </c>
    </row>
    <row r="254" spans="2:11" ht="15" customHeight="1">
      <c r="B254" s="180" t="s">
        <v>505</v>
      </c>
      <c r="C254" s="186" t="str">
        <f t="shared" ref="C254:C259" si="133">Единица_измерения</f>
        <v>тыс. руб.</v>
      </c>
      <c r="D254" s="38"/>
      <c r="E254" s="38"/>
      <c r="F254" s="38"/>
      <c r="G254" s="38"/>
      <c r="H254" s="38"/>
      <c r="I254" s="38"/>
      <c r="J254" s="38"/>
      <c r="K254" s="38"/>
    </row>
    <row r="255" spans="2:11" ht="15" customHeight="1">
      <c r="B255" s="42" t="s">
        <v>506</v>
      </c>
      <c r="C255" s="186" t="str">
        <f t="shared" si="133"/>
        <v>тыс. руб.</v>
      </c>
      <c r="D255" s="38"/>
      <c r="E255" s="38"/>
      <c r="F255" s="38"/>
      <c r="G255" s="38"/>
      <c r="H255" s="38"/>
      <c r="I255" s="38"/>
      <c r="J255" s="38"/>
      <c r="K255" s="38"/>
    </row>
    <row r="256" spans="2:11" ht="15" customHeight="1">
      <c r="B256" s="42" t="s">
        <v>508</v>
      </c>
      <c r="C256" s="186" t="str">
        <f t="shared" si="133"/>
        <v>тыс. руб.</v>
      </c>
      <c r="D256" s="38"/>
      <c r="E256" s="38"/>
      <c r="F256" s="38"/>
      <c r="G256" s="38"/>
      <c r="H256" s="38"/>
      <c r="I256" s="38"/>
      <c r="J256" s="38"/>
      <c r="K256" s="38"/>
    </row>
    <row r="257" spans="2:11" ht="15" customHeight="1">
      <c r="B257" s="42" t="s">
        <v>509</v>
      </c>
      <c r="C257" s="186" t="str">
        <f t="shared" si="133"/>
        <v>тыс. руб.</v>
      </c>
      <c r="D257" s="38"/>
      <c r="E257" s="38"/>
      <c r="F257" s="38"/>
      <c r="G257" s="38"/>
      <c r="H257" s="38"/>
      <c r="I257" s="38"/>
      <c r="J257" s="38"/>
      <c r="K257" s="38"/>
    </row>
    <row r="258" spans="2:11" ht="15" customHeight="1">
      <c r="B258" s="42" t="s">
        <v>517</v>
      </c>
      <c r="C258" s="186" t="str">
        <f t="shared" si="133"/>
        <v>тыс. руб.</v>
      </c>
      <c r="D258" s="38"/>
      <c r="E258" s="38"/>
      <c r="F258" s="38"/>
      <c r="G258" s="38"/>
      <c r="H258" s="38"/>
      <c r="I258" s="38"/>
      <c r="J258" s="38"/>
      <c r="K258" s="38"/>
    </row>
    <row r="259" spans="2:11" ht="15" customHeight="1">
      <c r="B259" s="190" t="s">
        <v>512</v>
      </c>
      <c r="C259" s="191" t="str">
        <f t="shared" si="133"/>
        <v>тыс. руб.</v>
      </c>
      <c r="D259" s="192">
        <f>SUM(D254,-D255,D256:D258)</f>
        <v>0</v>
      </c>
      <c r="E259" s="192">
        <f>SUM(E254,-E255,E256:E258)</f>
        <v>0</v>
      </c>
      <c r="F259" s="192">
        <f t="shared" ref="F259:K259" si="134">SUM(F254,-F255,F256:F258)</f>
        <v>0</v>
      </c>
      <c r="G259" s="192">
        <f t="shared" si="134"/>
        <v>0</v>
      </c>
      <c r="H259" s="192">
        <f t="shared" si="134"/>
        <v>0</v>
      </c>
      <c r="I259" s="192">
        <f t="shared" si="134"/>
        <v>0</v>
      </c>
      <c r="J259" s="192">
        <f t="shared" si="134"/>
        <v>0</v>
      </c>
      <c r="K259" s="192">
        <f t="shared" si="134"/>
        <v>0</v>
      </c>
    </row>
    <row r="260" spans="2:11" ht="15" customHeight="1">
      <c r="B260" s="42" t="s">
        <v>513</v>
      </c>
      <c r="C260" s="186" t="s">
        <v>514</v>
      </c>
      <c r="D260" s="193"/>
      <c r="E260" s="193"/>
      <c r="F260" s="193"/>
      <c r="G260" s="193"/>
      <c r="H260" s="193"/>
      <c r="I260" s="193"/>
      <c r="J260" s="193"/>
      <c r="K260" s="193"/>
    </row>
    <row r="261" spans="2:11" ht="15" customHeight="1">
      <c r="B261" s="194" t="s">
        <v>18</v>
      </c>
      <c r="C261" s="195" t="str">
        <f>Единица_измерения&amp;"/чел."</f>
        <v>тыс. руб./чел.</v>
      </c>
      <c r="D261" s="196" t="str">
        <f>IFERROR(D259/D260,"-")</f>
        <v>-</v>
      </c>
      <c r="E261" s="196" t="str">
        <f t="shared" ref="E261:K261" si="135">IFERROR(E259/E260,"-")</f>
        <v>-</v>
      </c>
      <c r="F261" s="196" t="str">
        <f t="shared" si="135"/>
        <v>-</v>
      </c>
      <c r="G261" s="196" t="str">
        <f t="shared" si="135"/>
        <v>-</v>
      </c>
      <c r="H261" s="196" t="str">
        <f t="shared" si="135"/>
        <v>-</v>
      </c>
      <c r="I261" s="196" t="str">
        <f t="shared" si="135"/>
        <v>-</v>
      </c>
      <c r="J261" s="196" t="str">
        <f t="shared" si="135"/>
        <v>-</v>
      </c>
      <c r="K261" s="196" t="str">
        <f t="shared" si="135"/>
        <v>-</v>
      </c>
    </row>
    <row r="262" spans="2:11" ht="15" customHeight="1">
      <c r="B262" s="180" t="s">
        <v>501</v>
      </c>
      <c r="C262" s="186" t="s">
        <v>94</v>
      </c>
      <c r="D262" s="197"/>
      <c r="E262" s="198" t="str">
        <f>IFERROR(E261/$D$261-1,"-")</f>
        <v>-</v>
      </c>
      <c r="F262" s="198" t="str">
        <f t="shared" ref="F262:K262" si="136">IFERROR(F261/$D$261-1,"-")</f>
        <v>-</v>
      </c>
      <c r="G262" s="198" t="str">
        <f t="shared" si="136"/>
        <v>-</v>
      </c>
      <c r="H262" s="198" t="str">
        <f t="shared" si="136"/>
        <v>-</v>
      </c>
      <c r="I262" s="198" t="str">
        <f t="shared" si="136"/>
        <v>-</v>
      </c>
      <c r="J262" s="198" t="str">
        <f t="shared" si="136"/>
        <v>-</v>
      </c>
      <c r="K262" s="198" t="str">
        <f t="shared" si="136"/>
        <v>-</v>
      </c>
    </row>
    <row r="263" spans="2:11" ht="15" customHeight="1">
      <c r="B263" s="180" t="s">
        <v>502</v>
      </c>
      <c r="C263" s="186" t="s">
        <v>94</v>
      </c>
      <c r="D263" s="197"/>
      <c r="E263" s="198" t="str">
        <f>IFERROR(E261/D261-1,"-")</f>
        <v>-</v>
      </c>
      <c r="F263" s="198" t="str">
        <f t="shared" ref="F263:K263" si="137">IFERROR(F261/E261-1,"-")</f>
        <v>-</v>
      </c>
      <c r="G263" s="198" t="str">
        <f t="shared" si="137"/>
        <v>-</v>
      </c>
      <c r="H263" s="198" t="str">
        <f t="shared" si="137"/>
        <v>-</v>
      </c>
      <c r="I263" s="198" t="str">
        <f t="shared" si="137"/>
        <v>-</v>
      </c>
      <c r="J263" s="198" t="str">
        <f t="shared" si="137"/>
        <v>-</v>
      </c>
      <c r="K263" s="198" t="str">
        <f t="shared" si="137"/>
        <v>-</v>
      </c>
    </row>
    <row r="264" spans="2:11" ht="15" customHeight="1">
      <c r="B264"/>
      <c r="C264"/>
      <c r="D264" s="25"/>
      <c r="E264" s="25"/>
      <c r="F264" s="25"/>
      <c r="G264" s="25"/>
      <c r="H264" s="25"/>
      <c r="I264" s="25"/>
      <c r="J264" s="25"/>
      <c r="K264" s="25"/>
    </row>
    <row r="265" spans="2:11" ht="15" customHeight="1">
      <c r="B265" s="42" t="s">
        <v>195</v>
      </c>
      <c r="C265" s="185" t="s">
        <v>94</v>
      </c>
      <c r="D265" s="199"/>
      <c r="E265" s="200" t="str">
        <f>IF(ISBLANK(E$228),E263,E262)</f>
        <v>-</v>
      </c>
      <c r="F265" s="200" t="str">
        <f t="shared" ref="F265:K265" si="138">IF(ISBLANK(F$228),F263,F262)</f>
        <v>-</v>
      </c>
      <c r="G265" s="200" t="str">
        <f t="shared" si="138"/>
        <v>-</v>
      </c>
      <c r="H265" s="200" t="str">
        <f t="shared" si="138"/>
        <v>-</v>
      </c>
      <c r="I265" s="200" t="str">
        <f t="shared" si="138"/>
        <v>-</v>
      </c>
      <c r="J265" s="200" t="str">
        <f t="shared" si="138"/>
        <v>-</v>
      </c>
      <c r="K265" s="200" t="str">
        <f t="shared" si="138"/>
        <v>-</v>
      </c>
    </row>
    <row r="266" spans="2:11" ht="15" customHeight="1">
      <c r="B266" s="42" t="s">
        <v>515</v>
      </c>
      <c r="C266" s="185" t="s">
        <v>94</v>
      </c>
      <c r="D266" s="199"/>
      <c r="E266" s="201" t="str">
        <f t="shared" ref="E266:K266" si="139">IF(AND(Программа&lt;&gt;"Производительность труда",Программа&lt;&gt;"Производительность труда с РФРП"),"",IF(ISBLANK(E$228),IF(E263&gt;E$229,"R","Q"),IF(E262&gt;E$228,"R","Q")))</f>
        <v/>
      </c>
      <c r="F266" s="201" t="str">
        <f t="shared" si="139"/>
        <v/>
      </c>
      <c r="G266" s="201" t="str">
        <f t="shared" si="139"/>
        <v/>
      </c>
      <c r="H266" s="201" t="str">
        <f t="shared" si="139"/>
        <v/>
      </c>
      <c r="I266" s="201" t="str">
        <f t="shared" si="139"/>
        <v/>
      </c>
      <c r="J266" s="201" t="str">
        <f t="shared" si="139"/>
        <v/>
      </c>
      <c r="K266" s="201" t="str">
        <f t="shared" si="139"/>
        <v/>
      </c>
    </row>
    <row r="267" spans="2:11" ht="15" customHeight="1">
      <c r="B267" s="9"/>
      <c r="C267" s="202"/>
      <c r="D267" s="202"/>
      <c r="E267" s="5"/>
      <c r="F267" s="5"/>
      <c r="G267" s="5"/>
      <c r="H267" s="5"/>
      <c r="I267" s="5"/>
      <c r="J267" s="5"/>
      <c r="K267" s="5"/>
    </row>
    <row r="268" spans="2:11" ht="15" customHeight="1">
      <c r="B268" s="9" t="s">
        <v>518</v>
      </c>
      <c r="C268" s="203"/>
      <c r="D268" s="203"/>
      <c r="E268" s="203"/>
      <c r="F268" s="203"/>
      <c r="G268" s="203"/>
      <c r="H268" s="203"/>
      <c r="I268" s="203"/>
      <c r="J268" s="203"/>
      <c r="K268" s="203"/>
    </row>
    <row r="269" spans="2:11" ht="15" customHeight="1">
      <c r="B269" s="204" t="s">
        <v>62</v>
      </c>
      <c r="C269" s="179">
        <f>IF(ISNUMBER(B269)=FALSE,YEAR('Параметры займа'!$J$9),B269+1)</f>
        <v>2021</v>
      </c>
      <c r="D269" s="179">
        <f>IF(ISNUMBER(C269)=FALSE,YEAR('Параметры займа'!$J$9),C269+1)</f>
        <v>2022</v>
      </c>
      <c r="E269" s="179">
        <f>IF(ISNUMBER(D269)=FALSE,YEAR('Параметры займа'!$J$9),D269+1)</f>
        <v>2023</v>
      </c>
      <c r="F269" s="179">
        <f>IF(ISNUMBER(E269)=FALSE,YEAR('Параметры займа'!$J$9),E269+1)</f>
        <v>2024</v>
      </c>
      <c r="G269" s="179">
        <f>IF(ISNUMBER(F269)=FALSE,YEAR('Параметры займа'!$J$9),F269+1)</f>
        <v>2025</v>
      </c>
      <c r="H269" s="179">
        <f>IF(ISNUMBER(G269)=FALSE,YEAR('Параметры займа'!$J$9),G269+1)</f>
        <v>2026</v>
      </c>
      <c r="I269" s="179">
        <f>IF(ISNUMBER(H269)=FALSE,YEAR('Параметры займа'!$J$9),H269+1)</f>
        <v>2027</v>
      </c>
      <c r="J269" s="179">
        <f>IF(ISNUMBER(I269)=FALSE,YEAR('Параметры займа'!$J$9),I269+1)</f>
        <v>2028</v>
      </c>
      <c r="K269" s="5"/>
    </row>
    <row r="270" spans="2:11" ht="15" customHeight="1">
      <c r="B270" s="144" t="s">
        <v>519</v>
      </c>
      <c r="C270" s="193"/>
      <c r="D270" s="193">
        <v>5</v>
      </c>
      <c r="E270" s="193"/>
      <c r="F270" s="193"/>
      <c r="G270" s="193"/>
      <c r="H270" s="193"/>
      <c r="I270" s="193"/>
      <c r="J270" s="193"/>
      <c r="K270"/>
    </row>
    <row r="271" spans="2:11" ht="15" customHeight="1"/>
    <row r="272" spans="2:11" ht="15" hidden="1" customHeight="1"/>
    <row r="273" ht="15" hidden="1" customHeight="1"/>
    <row r="274" ht="15" hidden="1" customHeight="1"/>
    <row r="275" ht="15" hidden="1" customHeight="1"/>
    <row r="276" ht="15" hidden="1" customHeight="1"/>
    <row r="277" ht="15" hidden="1" customHeight="1"/>
    <row r="278" ht="15" hidden="1" customHeight="1"/>
    <row r="279" ht="15" hidden="1" customHeight="1"/>
    <row r="280" ht="15" hidden="1" customHeight="1"/>
    <row r="281" ht="15" hidden="1" customHeight="1"/>
    <row r="282" ht="15" hidden="1" customHeight="1"/>
    <row r="283" ht="15" hidden="1" customHeight="1"/>
    <row r="284" ht="15" hidden="1" customHeight="1"/>
    <row r="285" ht="15" hidden="1" customHeight="1"/>
    <row r="286" ht="15" hidden="1" customHeight="1"/>
    <row r="287" ht="15" hidden="1" customHeight="1"/>
    <row r="288" ht="15" hidden="1" customHeight="1"/>
    <row r="289" ht="15" hidden="1" customHeight="1"/>
    <row r="290" ht="15" hidden="1" customHeight="1"/>
    <row r="291" ht="15" hidden="1" customHeight="1"/>
    <row r="292" ht="15" hidden="1" customHeight="1"/>
    <row r="293" ht="15" hidden="1" customHeight="1"/>
    <row r="294" ht="15" hidden="1" customHeight="1"/>
    <row r="295" ht="15" hidden="1" customHeight="1"/>
    <row r="296" ht="15" hidden="1" customHeight="1"/>
    <row r="297" ht="15" hidden="1" customHeight="1"/>
    <row r="298" ht="15" hidden="1" customHeight="1"/>
    <row r="299" ht="15" hidden="1" customHeight="1"/>
    <row r="300" ht="15" hidden="1" customHeight="1"/>
    <row r="301" ht="15" hidden="1" customHeight="1"/>
    <row r="302" ht="15" hidden="1" customHeight="1"/>
    <row r="303" ht="15" hidden="1" customHeight="1"/>
    <row r="304" ht="15" hidden="1" customHeight="1"/>
    <row r="305" ht="15" hidden="1" customHeight="1"/>
    <row r="306" ht="15" hidden="1" customHeight="1"/>
    <row r="307" ht="15" hidden="1" customHeight="1"/>
    <row r="308" ht="15" hidden="1" customHeight="1"/>
    <row r="309" ht="15" hidden="1" customHeight="1"/>
    <row r="310" ht="15" hidden="1" customHeight="1"/>
    <row r="311" ht="15" hidden="1" customHeight="1"/>
    <row r="312" ht="15" hidden="1" customHeight="1"/>
    <row r="313" ht="15" hidden="1" customHeight="1"/>
    <row r="314" ht="15" hidden="1" customHeight="1"/>
    <row r="315" ht="15" hidden="1" customHeight="1"/>
    <row r="316" ht="15" hidden="1" customHeight="1"/>
    <row r="317" ht="15" hidden="1" customHeight="1"/>
    <row r="318" ht="15" hidden="1" customHeight="1"/>
    <row r="319" ht="15" hidden="1" customHeight="1"/>
    <row r="320" ht="15" hidden="1" customHeight="1"/>
    <row r="321" ht="15" hidden="1" customHeight="1"/>
    <row r="322" ht="15" hidden="1" customHeight="1"/>
    <row r="323" ht="15" hidden="1" customHeight="1"/>
    <row r="324" ht="15" hidden="1" customHeight="1"/>
    <row r="325" ht="15" hidden="1" customHeight="1"/>
    <row r="326" ht="15" hidden="1" customHeight="1"/>
    <row r="327" ht="15" hidden="1" customHeight="1"/>
    <row r="328" ht="15" hidden="1" customHeight="1"/>
    <row r="329" ht="15" hidden="1" customHeight="1"/>
    <row r="330" ht="15" hidden="1" customHeight="1"/>
    <row r="331" ht="15" hidden="1" customHeight="1"/>
    <row r="332" ht="15" hidden="1" customHeight="1"/>
    <row r="333" ht="15" hidden="1" customHeight="1"/>
    <row r="334" ht="15" hidden="1" customHeight="1"/>
    <row r="335" ht="15" hidden="1" customHeight="1"/>
    <row r="336" ht="15" hidden="1" customHeight="1"/>
    <row r="337" ht="15" hidden="1" customHeight="1"/>
    <row r="338" ht="15" hidden="1" customHeight="1"/>
    <row r="339" ht="15" hidden="1" customHeight="1"/>
    <row r="340" ht="15" hidden="1" customHeight="1"/>
    <row r="341" ht="15" hidden="1" customHeight="1"/>
    <row r="342" ht="15" hidden="1" customHeight="1"/>
    <row r="343" ht="15" hidden="1" customHeight="1"/>
    <row r="344" ht="15" hidden="1" customHeight="1"/>
    <row r="345" ht="15" hidden="1" customHeight="1"/>
    <row r="346" ht="15" hidden="1" customHeight="1"/>
    <row r="347" ht="15" hidden="1" customHeight="1"/>
    <row r="348" ht="15" hidden="1" customHeight="1"/>
    <row r="349" ht="15" hidden="1" customHeight="1"/>
    <row r="350" ht="15" hidden="1" customHeight="1"/>
    <row r="351" ht="15" hidden="1" customHeight="1"/>
    <row r="352" ht="15" hidden="1" customHeight="1"/>
    <row r="353" ht="15" hidden="1" customHeight="1"/>
    <row r="354" ht="15" hidden="1" customHeight="1"/>
    <row r="355" ht="15" hidden="1" customHeight="1"/>
    <row r="356" ht="15" hidden="1" customHeight="1"/>
    <row r="357" ht="15" hidden="1" customHeight="1"/>
    <row r="358" ht="15" hidden="1" customHeight="1"/>
    <row r="359" ht="15" hidden="1" customHeight="1"/>
    <row r="360" ht="15" hidden="1" customHeight="1"/>
    <row r="361" ht="15" hidden="1" customHeight="1"/>
    <row r="362" ht="15" hidden="1" customHeight="1"/>
    <row r="363" ht="15" hidden="1" customHeight="1"/>
    <row r="364" ht="15" hidden="1" customHeight="1"/>
    <row r="365" ht="15" hidden="1" customHeight="1"/>
    <row r="366" ht="15" hidden="1" customHeight="1"/>
    <row r="367" ht="15" hidden="1" customHeight="1"/>
    <row r="368" ht="15" hidden="1" customHeight="1"/>
    <row r="369" ht="15" hidden="1" customHeight="1"/>
    <row r="370" ht="15" hidden="1" customHeight="1"/>
    <row r="371" ht="15" hidden="1" customHeight="1"/>
    <row r="372" ht="15" hidden="1" customHeight="1"/>
    <row r="373" ht="15" hidden="1" customHeight="1"/>
    <row r="374" ht="15" hidden="1" customHeight="1"/>
    <row r="375" ht="15" hidden="1" customHeight="1"/>
    <row r="376" ht="15" hidden="1" customHeight="1"/>
    <row r="377" ht="15" hidden="1" customHeight="1"/>
    <row r="378" ht="15" hidden="1" customHeight="1"/>
    <row r="379" ht="15" hidden="1" customHeight="1"/>
    <row r="380" ht="15" hidden="1" customHeight="1"/>
    <row r="381" ht="15" hidden="1" customHeight="1"/>
    <row r="382" ht="15" hidden="1" customHeight="1"/>
    <row r="383" ht="15" hidden="1" customHeight="1"/>
    <row r="384" ht="15" hidden="1" customHeight="1"/>
    <row r="385" ht="15" hidden="1" customHeight="1"/>
    <row r="386" ht="15" hidden="1" customHeight="1"/>
    <row r="387" ht="15" hidden="1" customHeight="1"/>
    <row r="388" ht="15" hidden="1" customHeight="1"/>
    <row r="389" ht="15" hidden="1" customHeight="1"/>
    <row r="390" ht="15" hidden="1" customHeight="1"/>
    <row r="391" ht="15" hidden="1" customHeight="1"/>
    <row r="392" ht="15" hidden="1" customHeight="1"/>
    <row r="393" ht="15" hidden="1" customHeight="1"/>
    <row r="394" ht="15" hidden="1" customHeight="1"/>
    <row r="395" ht="15" hidden="1" customHeight="1"/>
    <row r="396" ht="15" hidden="1" customHeight="1"/>
    <row r="397" ht="15" hidden="1" customHeight="1"/>
    <row r="398" ht="15" hidden="1" customHeight="1"/>
    <row r="399" ht="15" hidden="1" customHeight="1"/>
    <row r="400" ht="15" hidden="1" customHeight="1"/>
    <row r="401" ht="15" hidden="1" customHeight="1"/>
    <row r="402" ht="15" hidden="1" customHeight="1"/>
    <row r="403" ht="15" hidden="1" customHeight="1"/>
    <row r="404" ht="15" hidden="1" customHeight="1"/>
    <row r="405" ht="15" hidden="1" customHeight="1"/>
    <row r="406" ht="15" hidden="1" customHeight="1"/>
    <row r="407" ht="15" hidden="1" customHeight="1"/>
    <row r="408" ht="15" hidden="1" customHeight="1"/>
    <row r="409" ht="15" hidden="1" customHeight="1"/>
    <row r="410" ht="15" hidden="1" customHeight="1"/>
    <row r="411" ht="15" hidden="1" customHeight="1"/>
    <row r="412" ht="15" hidden="1" customHeight="1"/>
    <row r="413" ht="15" hidden="1" customHeight="1"/>
    <row r="414" ht="15" hidden="1" customHeight="1"/>
    <row r="415" ht="15" hidden="1" customHeight="1"/>
    <row r="416" ht="15" hidden="1" customHeight="1"/>
    <row r="417" ht="15" hidden="1" customHeight="1"/>
    <row r="418" ht="15" hidden="1" customHeight="1"/>
    <row r="419" ht="15" hidden="1" customHeight="1"/>
    <row r="420" ht="15" hidden="1" customHeight="1"/>
    <row r="421" ht="15" hidden="1" customHeight="1"/>
    <row r="422" ht="15" hidden="1" customHeight="1"/>
    <row r="423" ht="15" hidden="1" customHeight="1"/>
    <row r="424" ht="15" hidden="1" customHeight="1"/>
    <row r="425" ht="15" hidden="1" customHeight="1"/>
    <row r="426" ht="15" hidden="1" customHeight="1"/>
    <row r="427" ht="15" hidden="1" customHeight="1"/>
    <row r="428" ht="15" hidden="1" customHeight="1"/>
    <row r="429" ht="15" hidden="1" customHeight="1"/>
    <row r="430" ht="15" hidden="1" customHeight="1"/>
    <row r="431" ht="15" hidden="1" customHeight="1"/>
    <row r="432" ht="15" hidden="1" customHeight="1"/>
    <row r="433" ht="15" hidden="1" customHeight="1"/>
    <row r="434" ht="15" hidden="1" customHeight="1"/>
    <row r="435" ht="15" hidden="1" customHeight="1"/>
    <row r="436" ht="15" hidden="1" customHeight="1"/>
    <row r="437" ht="15" hidden="1" customHeight="1"/>
    <row r="438" ht="15" hidden="1" customHeight="1"/>
    <row r="439" ht="15" hidden="1" customHeight="1"/>
    <row r="440" ht="15" hidden="1" customHeight="1"/>
    <row r="441" ht="15" hidden="1" customHeight="1"/>
    <row r="442" ht="15" hidden="1" customHeight="1"/>
    <row r="443" ht="15" hidden="1" customHeight="1"/>
    <row r="444" ht="15" hidden="1" customHeight="1"/>
    <row r="445" ht="15" hidden="1" customHeight="1"/>
    <row r="446" ht="15" hidden="1" customHeight="1"/>
    <row r="447" ht="15" hidden="1" customHeight="1"/>
    <row r="448" ht="15" hidden="1" customHeight="1"/>
    <row r="449" ht="15" hidden="1" customHeight="1"/>
    <row r="450" ht="15" hidden="1" customHeight="1"/>
    <row r="451" ht="15" hidden="1" customHeight="1"/>
    <row r="452" ht="15" hidden="1" customHeight="1"/>
    <row r="453" ht="15" hidden="1" customHeight="1"/>
    <row r="454" ht="15" hidden="1" customHeight="1"/>
    <row r="455" ht="15" hidden="1" customHeight="1"/>
    <row r="456" ht="15" hidden="1" customHeight="1"/>
    <row r="457" ht="15" hidden="1" customHeight="1"/>
    <row r="458" ht="15" hidden="1" customHeight="1"/>
    <row r="459" ht="15" hidden="1" customHeight="1"/>
    <row r="460" ht="15" hidden="1" customHeight="1"/>
    <row r="461" ht="15" hidden="1" customHeight="1"/>
    <row r="462" ht="15" hidden="1" customHeight="1"/>
    <row r="463" ht="15" hidden="1" customHeight="1"/>
    <row r="464" ht="15" hidden="1" customHeight="1"/>
    <row r="465" ht="15" hidden="1" customHeight="1"/>
    <row r="466" ht="15" hidden="1" customHeight="1"/>
    <row r="467" ht="15" hidden="1" customHeight="1"/>
    <row r="468" ht="15" hidden="1" customHeight="1"/>
    <row r="469" ht="15" hidden="1" customHeight="1"/>
    <row r="470" ht="15" hidden="1" customHeight="1"/>
    <row r="471" ht="15" hidden="1" customHeight="1"/>
    <row r="472" ht="15" hidden="1" customHeight="1"/>
    <row r="473" ht="15" hidden="1" customHeight="1"/>
    <row r="474" ht="15" hidden="1" customHeight="1"/>
    <row r="475" ht="15" hidden="1" customHeight="1"/>
    <row r="476" ht="15" hidden="1" customHeight="1"/>
    <row r="477" ht="15" hidden="1" customHeight="1"/>
    <row r="478" ht="15" hidden="1" customHeight="1"/>
    <row r="479" ht="15" hidden="1" customHeight="1"/>
    <row r="480" ht="15" hidden="1" customHeight="1"/>
    <row r="481" ht="15" hidden="1" customHeight="1"/>
    <row r="482" ht="15" hidden="1" customHeight="1"/>
    <row r="483" ht="15" hidden="1" customHeight="1"/>
    <row r="484" ht="15" hidden="1" customHeight="1"/>
    <row r="485" ht="15" hidden="1" customHeight="1"/>
    <row r="486" ht="15" hidden="1" customHeight="1"/>
    <row r="487" ht="15" hidden="1" customHeight="1"/>
    <row r="488" ht="15" hidden="1" customHeight="1"/>
    <row r="489" ht="15" hidden="1" customHeight="1"/>
    <row r="490" ht="15" hidden="1" customHeight="1"/>
    <row r="491" ht="15" hidden="1" customHeight="1"/>
    <row r="492" ht="15" hidden="1" customHeight="1"/>
    <row r="493" ht="15" hidden="1" customHeight="1"/>
    <row r="494" ht="15" hidden="1" customHeight="1"/>
    <row r="495" ht="15" hidden="1" customHeight="1"/>
    <row r="496" ht="15" hidden="1" customHeight="1"/>
    <row r="497" ht="15" hidden="1" customHeight="1"/>
    <row r="498" ht="15" hidden="1" customHeight="1"/>
    <row r="499" ht="15" hidden="1" customHeight="1"/>
    <row r="500" ht="15" hidden="1" customHeight="1"/>
    <row r="501" ht="15" hidden="1" customHeight="1"/>
    <row r="502" ht="15" hidden="1" customHeight="1"/>
    <row r="503" ht="15" hidden="1" customHeight="1"/>
    <row r="504" ht="15" hidden="1" customHeight="1"/>
    <row r="505" ht="15" hidden="1" customHeight="1"/>
    <row r="506" ht="15" hidden="1" customHeight="1"/>
    <row r="507" ht="15" hidden="1" customHeight="1"/>
    <row r="508" ht="15" hidden="1" customHeight="1"/>
    <row r="509" ht="15" hidden="1" customHeight="1"/>
    <row r="510" ht="15" hidden="1" customHeight="1"/>
    <row r="511" ht="15" hidden="1" customHeight="1"/>
    <row r="512" ht="15" hidden="1" customHeight="1"/>
    <row r="513" ht="15" hidden="1" customHeight="1"/>
    <row r="514" ht="15" hidden="1" customHeight="1"/>
    <row r="515" ht="15" hidden="1" customHeight="1"/>
    <row r="516" ht="15" hidden="1" customHeight="1"/>
    <row r="517" ht="15" hidden="1" customHeight="1"/>
    <row r="518" ht="15" hidden="1" customHeight="1"/>
    <row r="519" ht="15" hidden="1" customHeight="1"/>
    <row r="520" ht="15" hidden="1" customHeight="1"/>
    <row r="521" ht="15" hidden="1" customHeight="1"/>
    <row r="522" ht="15" hidden="1" customHeight="1"/>
    <row r="523" ht="15" hidden="1" customHeight="1"/>
    <row r="524" ht="15" hidden="1" customHeight="1"/>
    <row r="525" ht="15" hidden="1" customHeight="1"/>
    <row r="526" ht="15" hidden="1" customHeight="1"/>
    <row r="527" ht="15" hidden="1" customHeight="1"/>
    <row r="528" ht="15" hidden="1" customHeight="1"/>
    <row r="529" ht="15" hidden="1" customHeight="1"/>
    <row r="530" ht="15" hidden="1" customHeight="1"/>
    <row r="531" ht="15" hidden="1" customHeight="1"/>
    <row r="532" ht="15" hidden="1" customHeight="1"/>
    <row r="533" ht="15" hidden="1" customHeight="1"/>
    <row r="534" ht="15" hidden="1" customHeight="1"/>
    <row r="535" ht="15" hidden="1" customHeight="1"/>
    <row r="536" ht="15" hidden="1" customHeight="1"/>
    <row r="537" ht="15" hidden="1" customHeight="1"/>
    <row r="538" ht="15" hidden="1" customHeight="1"/>
    <row r="539" ht="15" hidden="1" customHeight="1"/>
    <row r="540" ht="15" hidden="1" customHeight="1"/>
    <row r="541" ht="15" hidden="1" customHeight="1"/>
    <row r="542" ht="15" hidden="1" customHeight="1"/>
    <row r="543" ht="15" hidden="1" customHeight="1"/>
    <row r="544" ht="15" hidden="1" customHeight="1"/>
    <row r="545" ht="15" hidden="1" customHeight="1"/>
    <row r="546" ht="15" hidden="1" customHeight="1"/>
    <row r="547" ht="15" hidden="1" customHeight="1"/>
    <row r="548" ht="15" hidden="1" customHeight="1"/>
    <row r="549" ht="15" hidden="1" customHeight="1"/>
    <row r="550" ht="15" hidden="1" customHeight="1"/>
    <row r="551" ht="15" hidden="1" customHeight="1"/>
    <row r="552" ht="15" hidden="1" customHeight="1"/>
    <row r="553" ht="15" hidden="1" customHeight="1"/>
    <row r="554" ht="15" hidden="1" customHeight="1"/>
    <row r="555" ht="15" hidden="1" customHeight="1"/>
    <row r="556" ht="15" hidden="1" customHeight="1"/>
    <row r="557" ht="15" hidden="1" customHeight="1"/>
    <row r="558" ht="15" hidden="1" customHeight="1"/>
    <row r="559" ht="15" hidden="1" customHeight="1"/>
    <row r="560" ht="15" hidden="1" customHeight="1"/>
    <row r="561" ht="15" hidden="1" customHeight="1"/>
    <row r="562" ht="15" hidden="1" customHeight="1"/>
    <row r="563" ht="15" hidden="1" customHeight="1"/>
    <row r="564" ht="15" hidden="1" customHeight="1"/>
    <row r="565" ht="15" hidden="1" customHeight="1"/>
    <row r="566" ht="15" hidden="1" customHeight="1"/>
    <row r="567" ht="15" hidden="1" customHeight="1"/>
    <row r="568" ht="15" hidden="1" customHeight="1"/>
    <row r="569" ht="15" hidden="1" customHeight="1"/>
    <row r="570" ht="15" hidden="1" customHeight="1"/>
    <row r="571" ht="15" hidden="1" customHeight="1"/>
    <row r="572" ht="15" hidden="1" customHeight="1"/>
    <row r="573" ht="15" hidden="1" customHeight="1"/>
    <row r="574" ht="15" hidden="1" customHeight="1"/>
    <row r="575" ht="15" hidden="1" customHeight="1"/>
    <row r="576" ht="15" hidden="1" customHeight="1"/>
    <row r="577" ht="15" hidden="1" customHeight="1"/>
    <row r="578" ht="15" hidden="1" customHeight="1"/>
    <row r="579" ht="15" hidden="1" customHeight="1"/>
    <row r="580" ht="15" hidden="1" customHeight="1"/>
    <row r="581" ht="15" hidden="1" customHeight="1"/>
    <row r="582" ht="15" hidden="1" customHeight="1"/>
    <row r="583" ht="15" hidden="1" customHeight="1"/>
    <row r="584" ht="15" hidden="1" customHeight="1"/>
    <row r="585" ht="15" hidden="1" customHeight="1"/>
    <row r="586" ht="15" hidden="1" customHeight="1"/>
    <row r="587" ht="15" hidden="1" customHeight="1"/>
    <row r="588" ht="15" hidden="1" customHeight="1"/>
    <row r="589" ht="15" hidden="1" customHeight="1"/>
    <row r="590" ht="15" hidden="1" customHeight="1"/>
    <row r="591" ht="15" hidden="1" customHeight="1"/>
    <row r="592" ht="15" hidden="1" customHeight="1"/>
    <row r="593" ht="15" hidden="1" customHeight="1"/>
    <row r="594" ht="15" hidden="1" customHeight="1"/>
    <row r="595" ht="15" hidden="1" customHeight="1"/>
    <row r="596" ht="15" hidden="1" customHeight="1"/>
    <row r="597" ht="15" hidden="1" customHeight="1"/>
    <row r="598" ht="15" hidden="1" customHeight="1"/>
    <row r="599" ht="15" hidden="1" customHeight="1"/>
    <row r="600" ht="15" hidden="1" customHeight="1"/>
    <row r="601" ht="15" hidden="1" customHeight="1"/>
    <row r="602" ht="15" hidden="1" customHeight="1"/>
    <row r="603" ht="15" hidden="1" customHeight="1"/>
    <row r="604" ht="15" hidden="1" customHeight="1"/>
    <row r="605" ht="15" hidden="1" customHeight="1"/>
    <row r="606" ht="15" hidden="1" customHeight="1"/>
    <row r="607" ht="15" hidden="1" customHeight="1"/>
    <row r="608" ht="15" hidden="1" customHeight="1"/>
    <row r="609" ht="15" hidden="1" customHeight="1"/>
    <row r="610" ht="15" hidden="1" customHeight="1"/>
    <row r="611" ht="15" hidden="1" customHeight="1"/>
    <row r="612" ht="15" hidden="1" customHeight="1"/>
    <row r="613" ht="15" hidden="1" customHeight="1"/>
    <row r="614" ht="15" hidden="1" customHeight="1"/>
    <row r="615" ht="15" hidden="1" customHeight="1"/>
    <row r="616" ht="15" hidden="1" customHeight="1"/>
    <row r="617" ht="15" hidden="1" customHeight="1"/>
    <row r="618" ht="15" hidden="1" customHeight="1"/>
    <row r="619" ht="15" hidden="1" customHeight="1"/>
    <row r="620" ht="15" hidden="1" customHeight="1"/>
    <row r="621" ht="15" hidden="1" customHeight="1"/>
    <row r="622" ht="15" hidden="1" customHeight="1"/>
    <row r="623" ht="15" hidden="1" customHeight="1"/>
    <row r="624" ht="15" hidden="1" customHeight="1"/>
    <row r="625" ht="15" hidden="1" customHeight="1"/>
    <row r="626" ht="15" hidden="1" customHeight="1"/>
    <row r="627" ht="15" hidden="1" customHeight="1"/>
    <row r="628" ht="15" hidden="1" customHeight="1"/>
    <row r="629" ht="15" hidden="1" customHeight="1"/>
    <row r="630" ht="15" hidden="1" customHeight="1"/>
    <row r="631" ht="15" hidden="1" customHeight="1"/>
    <row r="632" ht="15" hidden="1" customHeight="1"/>
    <row r="633" ht="15" hidden="1" customHeight="1"/>
    <row r="634" ht="15" hidden="1" customHeight="1"/>
    <row r="635" ht="15" hidden="1" customHeight="1"/>
    <row r="636" ht="15" hidden="1" customHeight="1"/>
    <row r="637" ht="15" hidden="1" customHeight="1"/>
    <row r="638" ht="15" hidden="1" customHeight="1"/>
    <row r="639" ht="15" hidden="1" customHeight="1"/>
    <row r="640" ht="15" hidden="1" customHeight="1"/>
    <row r="641" ht="15" hidden="1" customHeight="1"/>
    <row r="642" ht="15" hidden="1" customHeight="1"/>
    <row r="643" ht="15" hidden="1" customHeight="1"/>
    <row r="644" ht="15" hidden="1" customHeight="1"/>
    <row r="645" ht="15" hidden="1" customHeight="1"/>
    <row r="646" ht="15" hidden="1" customHeight="1"/>
    <row r="647" ht="15" hidden="1" customHeight="1"/>
    <row r="648" ht="15" hidden="1" customHeight="1"/>
    <row r="649" ht="15" hidden="1" customHeight="1"/>
    <row r="650" ht="15" hidden="1" customHeight="1"/>
    <row r="651" ht="15" hidden="1" customHeight="1"/>
    <row r="652" ht="15" hidden="1" customHeight="1"/>
    <row r="653" ht="15" hidden="1" customHeight="1"/>
    <row r="654" ht="15" hidden="1" customHeight="1"/>
    <row r="655" ht="15" hidden="1" customHeight="1"/>
    <row r="656" ht="15" hidden="1" customHeight="1"/>
    <row r="657" ht="15" hidden="1" customHeight="1"/>
    <row r="658" ht="15" hidden="1" customHeight="1"/>
    <row r="659" ht="15" hidden="1" customHeight="1"/>
    <row r="660" ht="15" hidden="1" customHeight="1"/>
    <row r="661" ht="15" hidden="1" customHeight="1"/>
    <row r="662" ht="15" hidden="1" customHeight="1"/>
    <row r="663" ht="15" hidden="1" customHeight="1"/>
    <row r="664" ht="15" hidden="1" customHeight="1"/>
    <row r="665" ht="15" hidden="1" customHeight="1"/>
    <row r="666" ht="15" hidden="1" customHeight="1"/>
    <row r="667" ht="15" hidden="1" customHeight="1"/>
    <row r="668" ht="15" hidden="1" customHeight="1"/>
    <row r="669" ht="15" hidden="1" customHeight="1"/>
    <row r="670" ht="15" hidden="1" customHeight="1"/>
    <row r="671" ht="15" hidden="1" customHeight="1"/>
    <row r="672" ht="15" hidden="1" customHeight="1"/>
    <row r="673" ht="15" hidden="1" customHeight="1"/>
    <row r="674" ht="15" hidden="1" customHeight="1"/>
    <row r="675" ht="15" hidden="1" customHeight="1"/>
    <row r="676" ht="15" hidden="1" customHeight="1"/>
    <row r="677" ht="15" hidden="1" customHeight="1"/>
    <row r="678" ht="15" hidden="1" customHeight="1"/>
    <row r="679" ht="15" hidden="1" customHeight="1"/>
    <row r="680" ht="15" hidden="1" customHeight="1"/>
    <row r="681" ht="15" hidden="1" customHeight="1"/>
    <row r="682" ht="15" hidden="1" customHeight="1"/>
    <row r="683" ht="15" hidden="1" customHeight="1"/>
    <row r="684" ht="15" hidden="1" customHeight="1"/>
    <row r="685" ht="15" hidden="1" customHeight="1"/>
    <row r="686" ht="15" hidden="1" customHeight="1"/>
    <row r="687" ht="15" hidden="1" customHeight="1"/>
    <row r="688" ht="15" hidden="1" customHeight="1"/>
    <row r="689" ht="15" hidden="1" customHeight="1"/>
    <row r="690" ht="15" hidden="1" customHeight="1"/>
    <row r="691" ht="15" hidden="1" customHeight="1"/>
    <row r="692" ht="15" hidden="1" customHeight="1"/>
    <row r="693" ht="15" hidden="1" customHeight="1"/>
    <row r="694" ht="15" hidden="1" customHeight="1"/>
    <row r="695" ht="15" hidden="1" customHeight="1"/>
    <row r="696" ht="15" hidden="1" customHeight="1"/>
    <row r="697" ht="15" hidden="1" customHeight="1"/>
    <row r="698" ht="15" hidden="1" customHeight="1"/>
    <row r="699" ht="15" hidden="1" customHeight="1"/>
    <row r="700" ht="15" hidden="1" customHeight="1"/>
    <row r="701" ht="15" hidden="1" customHeight="1"/>
    <row r="702" ht="15" hidden="1" customHeight="1"/>
    <row r="703" ht="15" hidden="1" customHeight="1"/>
    <row r="704" ht="15" hidden="1" customHeight="1"/>
    <row r="705" ht="15" hidden="1" customHeight="1"/>
    <row r="706" ht="15" hidden="1" customHeight="1"/>
    <row r="707" ht="15" hidden="1" customHeight="1"/>
    <row r="708" ht="15" hidden="1" customHeight="1"/>
    <row r="709" ht="15" hidden="1" customHeight="1"/>
    <row r="710" ht="15" hidden="1" customHeight="1"/>
    <row r="711" ht="15" hidden="1" customHeight="1"/>
    <row r="712" ht="15" hidden="1" customHeight="1"/>
    <row r="713" ht="15" hidden="1" customHeight="1"/>
    <row r="714" ht="15" hidden="1" customHeight="1"/>
    <row r="715" ht="15" hidden="1" customHeight="1"/>
    <row r="716" ht="15" hidden="1" customHeight="1"/>
    <row r="717" ht="15" hidden="1" customHeight="1"/>
    <row r="718" ht="15" hidden="1" customHeight="1"/>
    <row r="719" ht="15" hidden="1" customHeight="1"/>
    <row r="720" ht="15" hidden="1" customHeight="1"/>
    <row r="721" ht="15" hidden="1" customHeight="1"/>
    <row r="722" ht="15" hidden="1" customHeight="1"/>
    <row r="723" ht="15" hidden="1" customHeight="1"/>
    <row r="724" ht="15" hidden="1" customHeight="1"/>
    <row r="725" ht="15" hidden="1" customHeight="1"/>
    <row r="726" ht="15" hidden="1" customHeight="1"/>
    <row r="727" ht="15" hidden="1" customHeight="1"/>
    <row r="728" ht="15" hidden="1" customHeight="1"/>
    <row r="729" ht="15" hidden="1" customHeight="1"/>
    <row r="730" ht="15" hidden="1" customHeight="1"/>
    <row r="731" ht="15" hidden="1" customHeight="1"/>
    <row r="732" ht="15" hidden="1" customHeight="1"/>
    <row r="733" ht="15" hidden="1" customHeight="1"/>
    <row r="734" ht="15" hidden="1" customHeight="1"/>
    <row r="735" ht="15" hidden="1" customHeight="1"/>
    <row r="736" ht="15" hidden="1" customHeight="1"/>
    <row r="737" ht="15" hidden="1" customHeight="1"/>
    <row r="738" ht="15" hidden="1" customHeight="1"/>
    <row r="739" ht="15" hidden="1" customHeight="1"/>
    <row r="740" ht="15" hidden="1" customHeight="1"/>
    <row r="741" ht="15" hidden="1" customHeight="1"/>
    <row r="742" ht="15" hidden="1" customHeight="1"/>
    <row r="743" ht="15" hidden="1" customHeight="1"/>
    <row r="744" ht="15" hidden="1" customHeight="1"/>
    <row r="745" ht="15" hidden="1" customHeight="1"/>
    <row r="746" ht="15" hidden="1" customHeight="1"/>
    <row r="747" ht="15" hidden="1" customHeight="1"/>
    <row r="748" ht="15" hidden="1" customHeight="1"/>
    <row r="749" ht="15" hidden="1" customHeight="1"/>
    <row r="750" ht="15" hidden="1" customHeight="1"/>
    <row r="751" ht="15" hidden="1" customHeight="1"/>
    <row r="752" ht="15" hidden="1" customHeight="1"/>
    <row r="753" ht="15" hidden="1" customHeight="1"/>
    <row r="754" ht="15" hidden="1" customHeight="1"/>
    <row r="755" ht="15" hidden="1" customHeight="1"/>
    <row r="756" ht="15" hidden="1" customHeight="1"/>
    <row r="757" ht="15" hidden="1" customHeight="1"/>
    <row r="758" ht="15" hidden="1" customHeight="1"/>
    <row r="759" ht="15" hidden="1" customHeight="1"/>
    <row r="760" ht="15" hidden="1" customHeight="1"/>
    <row r="761" ht="15" hidden="1" customHeight="1"/>
    <row r="762" ht="15" hidden="1" customHeight="1"/>
    <row r="763" ht="15" hidden="1" customHeight="1"/>
    <row r="764" ht="15" hidden="1" customHeight="1"/>
    <row r="765" ht="15" hidden="1" customHeight="1"/>
    <row r="766" ht="15" hidden="1" customHeight="1"/>
    <row r="767" ht="15" hidden="1" customHeight="1"/>
    <row r="768" ht="15" hidden="1" customHeight="1"/>
    <row r="769" ht="15" hidden="1" customHeight="1"/>
    <row r="770" ht="15" hidden="1" customHeight="1"/>
    <row r="771" ht="15" hidden="1" customHeight="1"/>
    <row r="772" ht="15" hidden="1" customHeight="1"/>
    <row r="773" ht="15" hidden="1" customHeight="1"/>
    <row r="774" ht="15" hidden="1" customHeight="1"/>
    <row r="775" ht="15" hidden="1" customHeight="1"/>
    <row r="776" ht="15" hidden="1" customHeight="1"/>
    <row r="777" ht="15" hidden="1" customHeight="1"/>
    <row r="778" ht="15" hidden="1" customHeight="1"/>
    <row r="779" ht="15" hidden="1" customHeight="1"/>
    <row r="780" ht="15" hidden="1" customHeight="1"/>
    <row r="781" ht="15" hidden="1" customHeight="1"/>
    <row r="782" ht="15" hidden="1" customHeight="1"/>
    <row r="783" ht="15" hidden="1" customHeight="1"/>
    <row r="784" ht="15" hidden="1" customHeight="1"/>
    <row r="785" ht="15" hidden="1" customHeight="1"/>
    <row r="786" ht="15" hidden="1" customHeight="1"/>
    <row r="787" ht="15" hidden="1" customHeight="1"/>
    <row r="788" ht="15" hidden="1" customHeight="1"/>
    <row r="789" ht="15" hidden="1" customHeight="1"/>
    <row r="790" ht="15" hidden="1" customHeight="1"/>
    <row r="791" ht="15" hidden="1" customHeight="1"/>
    <row r="792" ht="15" hidden="1" customHeight="1"/>
    <row r="793" ht="15" hidden="1" customHeight="1"/>
    <row r="794" ht="15" hidden="1" customHeight="1"/>
    <row r="795" ht="15" hidden="1" customHeight="1"/>
    <row r="796" ht="15" hidden="1" customHeight="1"/>
    <row r="797" ht="15" hidden="1" customHeight="1"/>
    <row r="798" ht="15" hidden="1" customHeight="1"/>
    <row r="799" ht="15" hidden="1" customHeight="1"/>
    <row r="800" ht="15" hidden="1" customHeight="1"/>
    <row r="801" ht="15" hidden="1" customHeight="1"/>
    <row r="802" ht="15" hidden="1" customHeight="1"/>
    <row r="803" ht="15" hidden="1" customHeight="1"/>
    <row r="804" ht="15" hidden="1" customHeight="1"/>
    <row r="805" ht="15" hidden="1" customHeight="1"/>
    <row r="806" ht="15" hidden="1" customHeight="1"/>
    <row r="807" ht="15" hidden="1" customHeight="1"/>
    <row r="808" ht="15" hidden="1" customHeight="1"/>
    <row r="809" ht="15" hidden="1" customHeight="1"/>
    <row r="810" ht="15" hidden="1" customHeight="1"/>
    <row r="811" ht="15" hidden="1" customHeight="1"/>
    <row r="812" ht="15" hidden="1" customHeight="1"/>
    <row r="813" ht="15" hidden="1" customHeight="1"/>
    <row r="814" ht="15" hidden="1" customHeight="1"/>
    <row r="815" ht="15" hidden="1" customHeight="1"/>
    <row r="816" ht="15" hidden="1" customHeight="1"/>
    <row r="817" ht="15" hidden="1" customHeight="1"/>
    <row r="818" ht="15" hidden="1" customHeight="1"/>
    <row r="819" ht="15" hidden="1" customHeight="1"/>
    <row r="820" ht="15" hidden="1" customHeight="1"/>
    <row r="821" ht="15" hidden="1" customHeight="1"/>
    <row r="822" ht="15" hidden="1" customHeight="1"/>
    <row r="823" ht="15" hidden="1" customHeight="1"/>
    <row r="824" ht="15" hidden="1" customHeight="1"/>
    <row r="825" ht="15" hidden="1" customHeight="1"/>
    <row r="826" ht="15" hidden="1" customHeight="1"/>
    <row r="827" ht="15" hidden="1" customHeight="1"/>
    <row r="828" ht="15" hidden="1" customHeight="1"/>
    <row r="829" ht="15" hidden="1" customHeight="1"/>
    <row r="830" ht="15" hidden="1" customHeight="1"/>
    <row r="831" ht="15" hidden="1" customHeight="1"/>
    <row r="832" ht="15" hidden="1" customHeight="1"/>
    <row r="833" ht="15" hidden="1" customHeight="1"/>
    <row r="834" ht="15" hidden="1" customHeight="1"/>
    <row r="835" ht="15" hidden="1" customHeight="1"/>
    <row r="836" ht="15" hidden="1" customHeight="1"/>
    <row r="837" ht="15" hidden="1" customHeight="1"/>
    <row r="838" ht="15" hidden="1" customHeight="1"/>
    <row r="839" ht="15" hidden="1" customHeight="1"/>
    <row r="840" ht="15" hidden="1" customHeight="1"/>
    <row r="841" ht="15" hidden="1" customHeight="1"/>
    <row r="842" ht="15" hidden="1" customHeight="1"/>
    <row r="843" ht="15" hidden="1" customHeight="1"/>
    <row r="844" ht="15" hidden="1" customHeight="1"/>
    <row r="845" ht="15" hidden="1" customHeight="1"/>
    <row r="846" ht="15" hidden="1" customHeight="1"/>
    <row r="847" ht="15" hidden="1" customHeight="1"/>
    <row r="848" ht="15" hidden="1" customHeight="1"/>
    <row r="849" ht="15" hidden="1" customHeight="1"/>
    <row r="850" ht="15" hidden="1" customHeight="1"/>
    <row r="851" ht="15" hidden="1" customHeight="1"/>
    <row r="852" ht="15" hidden="1" customHeight="1"/>
    <row r="853" ht="15" hidden="1" customHeight="1"/>
    <row r="854" ht="15" hidden="1" customHeight="1"/>
    <row r="855" ht="15" hidden="1" customHeight="1"/>
    <row r="856" ht="15" hidden="1" customHeight="1"/>
    <row r="857" ht="15" hidden="1" customHeight="1"/>
    <row r="858" ht="15" hidden="1" customHeight="1"/>
    <row r="859" ht="15" hidden="1" customHeight="1"/>
    <row r="860" ht="15" hidden="1" customHeight="1"/>
    <row r="861" ht="15" hidden="1" customHeight="1"/>
    <row r="862" ht="15" hidden="1" customHeight="1"/>
    <row r="863" ht="15" hidden="1" customHeight="1"/>
    <row r="864" ht="15" hidden="1" customHeight="1"/>
    <row r="865" ht="15" hidden="1" customHeight="1"/>
    <row r="866" ht="15" hidden="1" customHeight="1"/>
    <row r="867" ht="15" hidden="1" customHeight="1"/>
    <row r="868" ht="15" hidden="1" customHeight="1"/>
    <row r="869" ht="15" hidden="1" customHeight="1"/>
    <row r="870" ht="15" hidden="1" customHeight="1"/>
    <row r="871" ht="15" hidden="1" customHeight="1"/>
    <row r="872" ht="15" hidden="1" customHeight="1"/>
    <row r="873" ht="15" hidden="1" customHeight="1"/>
    <row r="874" ht="15" hidden="1" customHeight="1"/>
    <row r="875" ht="15" hidden="1" customHeight="1"/>
    <row r="876" ht="15" hidden="1" customHeight="1"/>
    <row r="877" ht="15" hidden="1" customHeight="1"/>
    <row r="878" ht="15" hidden="1" customHeight="1"/>
    <row r="879" ht="15" hidden="1" customHeight="1"/>
    <row r="880" ht="15" hidden="1" customHeight="1"/>
    <row r="881" ht="15" hidden="1" customHeight="1"/>
    <row r="882" ht="15" hidden="1" customHeight="1"/>
    <row r="883" ht="15" hidden="1" customHeight="1"/>
    <row r="884" ht="15" hidden="1" customHeight="1"/>
    <row r="885" ht="15" hidden="1" customHeight="1"/>
    <row r="886" ht="15" hidden="1" customHeight="1"/>
    <row r="887" ht="15" hidden="1" customHeight="1"/>
    <row r="888" ht="15" hidden="1" customHeight="1"/>
    <row r="889" ht="15" hidden="1" customHeight="1"/>
    <row r="890" ht="15" hidden="1" customHeight="1"/>
    <row r="891" ht="15" hidden="1" customHeight="1"/>
    <row r="892" ht="15" hidden="1" customHeight="1"/>
    <row r="893" ht="15" hidden="1" customHeight="1"/>
    <row r="894" ht="15" hidden="1" customHeight="1"/>
    <row r="895" ht="15" hidden="1" customHeight="1"/>
    <row r="896" ht="15" hidden="1" customHeight="1"/>
    <row r="897" ht="15" hidden="1" customHeight="1"/>
    <row r="898" ht="15" hidden="1" customHeight="1"/>
    <row r="899" ht="15" hidden="1" customHeight="1"/>
    <row r="900" ht="15" hidden="1" customHeight="1"/>
    <row r="901" ht="15" hidden="1" customHeight="1"/>
    <row r="902" ht="15" hidden="1" customHeight="1"/>
    <row r="903" ht="15" hidden="1" customHeight="1"/>
    <row r="904" ht="15" hidden="1" customHeight="1"/>
    <row r="905" ht="15" hidden="1" customHeight="1"/>
    <row r="906" ht="15" hidden="1" customHeight="1"/>
    <row r="907" ht="15" hidden="1" customHeight="1"/>
    <row r="908" ht="15" hidden="1" customHeight="1"/>
    <row r="909" ht="15" hidden="1" customHeight="1"/>
    <row r="910" ht="15" hidden="1" customHeight="1"/>
    <row r="911" ht="15" hidden="1" customHeight="1"/>
    <row r="912" ht="15" hidden="1" customHeight="1"/>
    <row r="913" ht="15" hidden="1" customHeight="1"/>
    <row r="914" ht="15" hidden="1" customHeight="1"/>
    <row r="915" ht="15" hidden="1" customHeight="1"/>
    <row r="916" ht="15" hidden="1" customHeight="1"/>
    <row r="917" ht="15" hidden="1" customHeight="1"/>
    <row r="918" ht="15" hidden="1" customHeight="1"/>
    <row r="919" ht="15" hidden="1" customHeight="1"/>
    <row r="920" ht="15" hidden="1" customHeight="1"/>
    <row r="921" ht="15" hidden="1" customHeight="1"/>
    <row r="922" ht="15" hidden="1" customHeight="1"/>
    <row r="923" ht="15" hidden="1" customHeight="1"/>
    <row r="924" ht="15" hidden="1" customHeight="1"/>
    <row r="925" ht="15" hidden="1" customHeight="1"/>
    <row r="926" ht="15" hidden="1" customHeight="1"/>
    <row r="927" ht="15" hidden="1" customHeight="1"/>
    <row r="928" ht="15" hidden="1" customHeight="1"/>
    <row r="929" ht="15" hidden="1" customHeight="1"/>
    <row r="930" ht="15" hidden="1" customHeight="1"/>
    <row r="931" ht="15" hidden="1" customHeight="1"/>
    <row r="932" ht="15" hidden="1" customHeight="1"/>
    <row r="933" ht="15" hidden="1" customHeight="1"/>
    <row r="934" ht="15" hidden="1" customHeight="1"/>
    <row r="935" ht="15" hidden="1" customHeight="1"/>
    <row r="936" ht="15" hidden="1" customHeight="1"/>
    <row r="937" ht="15" hidden="1" customHeight="1"/>
    <row r="938" ht="15" hidden="1" customHeight="1"/>
    <row r="939" ht="15" hidden="1" customHeight="1"/>
    <row r="940" ht="15" hidden="1" customHeight="1"/>
    <row r="941" ht="15" hidden="1" customHeight="1"/>
    <row r="942" ht="15" hidden="1" customHeight="1"/>
    <row r="943" ht="15" hidden="1" customHeight="1"/>
    <row r="944" ht="15" hidden="1" customHeight="1"/>
    <row r="945" ht="15" hidden="1" customHeight="1"/>
    <row r="946" ht="15" hidden="1" customHeight="1"/>
    <row r="947" ht="15" hidden="1" customHeight="1"/>
    <row r="948" ht="15" hidden="1" customHeight="1"/>
    <row r="949" ht="15" hidden="1" customHeight="1"/>
    <row r="950" ht="15" hidden="1" customHeight="1"/>
    <row r="951" ht="15" hidden="1" customHeight="1"/>
    <row r="952" ht="15" hidden="1" customHeight="1"/>
    <row r="953" ht="15" hidden="1" customHeight="1"/>
    <row r="954" ht="15" hidden="1" customHeight="1"/>
    <row r="955" ht="15" hidden="1" customHeight="1"/>
    <row r="956" ht="15" hidden="1" customHeight="1"/>
    <row r="957" ht="15" hidden="1" customHeight="1"/>
    <row r="958" ht="15" hidden="1" customHeight="1"/>
    <row r="959" ht="15" hidden="1" customHeight="1"/>
    <row r="960" ht="15" hidden="1" customHeight="1"/>
    <row r="961" ht="15" hidden="1" customHeight="1"/>
    <row r="962" ht="15" hidden="1" customHeight="1"/>
    <row r="963" ht="15" hidden="1" customHeight="1"/>
    <row r="964" ht="15" hidden="1" customHeight="1"/>
    <row r="965" ht="15" hidden="1" customHeight="1"/>
    <row r="966" ht="15" hidden="1" customHeight="1"/>
    <row r="967" ht="15" hidden="1" customHeight="1"/>
    <row r="968" ht="15" hidden="1" customHeight="1"/>
    <row r="969" ht="15" hidden="1" customHeight="1"/>
    <row r="970" ht="15" hidden="1" customHeight="1"/>
    <row r="971" ht="15" hidden="1" customHeight="1"/>
    <row r="972" ht="15" hidden="1" customHeight="1"/>
    <row r="973" ht="15" hidden="1" customHeight="1"/>
    <row r="974" ht="15" hidden="1" customHeight="1"/>
    <row r="975" ht="15" hidden="1" customHeight="1"/>
    <row r="976" ht="15" hidden="1" customHeight="1"/>
    <row r="977" ht="15" hidden="1" customHeight="1"/>
    <row r="978" ht="15" hidden="1" customHeight="1"/>
    <row r="979" ht="15" hidden="1" customHeight="1"/>
    <row r="980" ht="15" hidden="1" customHeight="1"/>
    <row r="981" ht="15" hidden="1" customHeight="1"/>
    <row r="982" ht="15" hidden="1" customHeight="1"/>
    <row r="983" ht="15" hidden="1" customHeight="1"/>
    <row r="984" ht="15" hidden="1" customHeight="1"/>
    <row r="985" ht="15" hidden="1" customHeight="1"/>
    <row r="986" ht="15" hidden="1" customHeight="1"/>
    <row r="987" ht="15" hidden="1" customHeight="1"/>
    <row r="988" ht="15" hidden="1" customHeight="1"/>
    <row r="989" ht="15" hidden="1" customHeight="1"/>
    <row r="990" ht="15" hidden="1" customHeight="1"/>
    <row r="991" ht="15" hidden="1" customHeight="1"/>
    <row r="992" ht="15" hidden="1" customHeight="1"/>
    <row r="993" ht="15" hidden="1" customHeight="1"/>
    <row r="994" ht="15" hidden="1" customHeight="1"/>
    <row r="995" ht="15" hidden="1" customHeight="1"/>
    <row r="996" ht="15" hidden="1" customHeight="1"/>
    <row r="997" ht="15" hidden="1" customHeight="1"/>
    <row r="998" ht="15" hidden="1" customHeight="1"/>
    <row r="999" ht="15" hidden="1" customHeight="1"/>
    <row r="1000" ht="15" hidden="1" customHeight="1"/>
    <row r="1001" ht="15" hidden="1" customHeight="1"/>
    <row r="1002" ht="15" hidden="1" customHeight="1"/>
    <row r="1003" ht="15" hidden="1" customHeight="1"/>
    <row r="1004" ht="15" hidden="1" customHeight="1"/>
    <row r="1005" ht="15" hidden="1" customHeight="1"/>
    <row r="1006" ht="15" hidden="1" customHeight="1"/>
    <row r="1007" ht="15" hidden="1" customHeight="1"/>
    <row r="1008" ht="15" hidden="1" customHeight="1"/>
    <row r="1009" ht="15" hidden="1" customHeight="1"/>
    <row r="1010" ht="15" hidden="1" customHeight="1"/>
    <row r="1011" ht="15" hidden="1" customHeight="1"/>
    <row r="1012" ht="15" hidden="1" customHeight="1"/>
    <row r="1013" ht="15" hidden="1" customHeight="1"/>
    <row r="1014" ht="15" hidden="1" customHeight="1"/>
    <row r="1015" ht="15" hidden="1" customHeight="1"/>
    <row r="1016" ht="15" hidden="1" customHeight="1"/>
    <row r="1017" ht="15" hidden="1" customHeight="1"/>
    <row r="1018" ht="15" hidden="1" customHeight="1"/>
    <row r="1019" ht="15" hidden="1" customHeight="1"/>
    <row r="1020" ht="15" hidden="1" customHeight="1"/>
    <row r="1021" ht="15" hidden="1" customHeight="1"/>
    <row r="1022" ht="15" hidden="1" customHeight="1"/>
    <row r="1023" ht="15" hidden="1" customHeight="1"/>
    <row r="1024" ht="15" hidden="1" customHeight="1"/>
    <row r="1025" ht="15" hidden="1" customHeight="1"/>
    <row r="1026" ht="15" hidden="1" customHeight="1"/>
    <row r="1027" ht="15" hidden="1" customHeight="1"/>
    <row r="1028" ht="15" hidden="1" customHeight="1"/>
    <row r="1029" ht="15" hidden="1" customHeight="1"/>
    <row r="1030" ht="15" hidden="1" customHeight="1"/>
    <row r="1031" ht="15" hidden="1" customHeight="1"/>
    <row r="1032" ht="15" hidden="1" customHeight="1"/>
    <row r="1033" ht="15" hidden="1" customHeight="1"/>
    <row r="1034" ht="15" hidden="1" customHeight="1"/>
    <row r="1035" ht="15" hidden="1" customHeight="1"/>
    <row r="1036" ht="15" hidden="1" customHeight="1"/>
    <row r="1037" ht="15" hidden="1" customHeight="1"/>
    <row r="1038" ht="15" hidden="1" customHeight="1"/>
    <row r="1039" ht="15" hidden="1" customHeight="1"/>
    <row r="1040" ht="15" hidden="1" customHeight="1"/>
    <row r="1041" ht="15" hidden="1" customHeight="1"/>
    <row r="1042" ht="15" hidden="1" customHeight="1"/>
    <row r="1043" ht="15" hidden="1" customHeight="1"/>
    <row r="1044" ht="15" hidden="1" customHeight="1"/>
    <row r="1045" ht="15" hidden="1" customHeight="1"/>
    <row r="1046" ht="15" hidden="1" customHeight="1"/>
    <row r="1047" ht="15" hidden="1" customHeight="1"/>
    <row r="1048" ht="15" hidden="1" customHeight="1"/>
    <row r="1049" ht="15" hidden="1" customHeight="1"/>
    <row r="1050" ht="15" hidden="1" customHeight="1"/>
    <row r="1051" ht="15" hidden="1" customHeight="1"/>
    <row r="1052" ht="15" hidden="1" customHeight="1"/>
    <row r="1053" ht="15" hidden="1" customHeight="1"/>
    <row r="1054" ht="15" hidden="1" customHeight="1"/>
    <row r="1055" ht="15" hidden="1" customHeight="1"/>
    <row r="1056" ht="15" hidden="1" customHeight="1"/>
    <row r="1057" ht="15" hidden="1" customHeight="1"/>
    <row r="1058" ht="15" hidden="1" customHeight="1"/>
    <row r="1059" ht="15" hidden="1" customHeight="1"/>
  </sheetData>
  <dataConsolidate link="1"/>
  <mergeCells count="14">
    <mergeCell ref="D5:D7"/>
    <mergeCell ref="I2:K2"/>
    <mergeCell ref="B143:C143"/>
    <mergeCell ref="B217:C217"/>
    <mergeCell ref="B218:C218"/>
    <mergeCell ref="B142:C142"/>
    <mergeCell ref="B5:B7"/>
    <mergeCell ref="C5:C7"/>
    <mergeCell ref="B226:B227"/>
    <mergeCell ref="C226:C227"/>
    <mergeCell ref="B233:B234"/>
    <mergeCell ref="C233:C234"/>
    <mergeCell ref="B252:B253"/>
    <mergeCell ref="C252:C253"/>
  </mergeCells>
  <conditionalFormatting sqref="E12:J12">
    <cfRule type="cellIs" dxfId="16" priority="43" operator="equal">
      <formula>1</formula>
    </cfRule>
  </conditionalFormatting>
  <conditionalFormatting sqref="D143">
    <cfRule type="cellIs" dxfId="15" priority="40" operator="equal">
      <formula>"Q"</formula>
    </cfRule>
    <cfRule type="cellIs" dxfId="14" priority="41" operator="equal">
      <formula>"R"</formula>
    </cfRule>
  </conditionalFormatting>
  <conditionalFormatting sqref="D218">
    <cfRule type="cellIs" dxfId="13" priority="34" operator="equal">
      <formula>"Q"</formula>
    </cfRule>
    <cfRule type="cellIs" dxfId="12" priority="35" operator="equal">
      <formula>"R"</formula>
    </cfRule>
  </conditionalFormatting>
  <conditionalFormatting sqref="E12:AL12">
    <cfRule type="cellIs" dxfId="11" priority="26" operator="equal">
      <formula>1</formula>
    </cfRule>
  </conditionalFormatting>
  <conditionalFormatting sqref="D142">
    <cfRule type="cellIs" dxfId="10" priority="14" operator="equal">
      <formula>"Q"</formula>
    </cfRule>
    <cfRule type="cellIs" dxfId="9" priority="15" operator="equal">
      <formula>"R"</formula>
    </cfRule>
  </conditionalFormatting>
  <conditionalFormatting sqref="D217">
    <cfRule type="cellIs" dxfId="8" priority="12" operator="equal">
      <formula>"Q"</formula>
    </cfRule>
    <cfRule type="cellIs" dxfId="7" priority="13" operator="equal">
      <formula>"R"</formula>
    </cfRule>
  </conditionalFormatting>
  <conditionalFormatting sqref="I12">
    <cfRule type="cellIs" dxfId="6" priority="7" operator="equal">
      <formula>1</formula>
    </cfRule>
  </conditionalFormatting>
  <conditionalFormatting sqref="I12">
    <cfRule type="cellIs" dxfId="5" priority="6" operator="equal">
      <formula>1</formula>
    </cfRule>
  </conditionalFormatting>
  <conditionalFormatting sqref="E249:K249">
    <cfRule type="cellIs" dxfId="4" priority="4" operator="equal">
      <formula>"Q"</formula>
    </cfRule>
    <cfRule type="cellIs" dxfId="3" priority="5" operator="equal">
      <formula>"R"</formula>
    </cfRule>
  </conditionalFormatting>
  <conditionalFormatting sqref="E266:K266">
    <cfRule type="cellIs" dxfId="2" priority="2" operator="equal">
      <formula>"Q"</formula>
    </cfRule>
    <cfRule type="cellIs" dxfId="1" priority="3" operator="equal">
      <formula>"R"</formula>
    </cfRule>
  </conditionalFormatting>
  <conditionalFormatting sqref="C222:C223 D235:K241 D243:K243 D260:K260 D254:K258 C270:J270">
    <cfRule type="expression" dxfId="0" priority="1">
      <formula>AND(Программа&lt;&gt;"Производительность труда",Программа&lt;&gt;"Производительность труда с РФРП")</formula>
    </cfRule>
  </conditionalFormatting>
  <dataValidations count="3">
    <dataValidation type="whole" operator="lessThanOrEqual" allowBlank="1" showInputMessage="1" showErrorMessage="1" errorTitle="Некорректное значение" error="Значение показателя отражается с отрицательным знаком." sqref="E64:AL64 E129:AL132 E53:AL53 E56:AL57 E62:AL62 K110:AL113 E86:AL94 E110:I113 E67:AL67">
      <formula1>0</formula1>
    </dataValidation>
    <dataValidation operator="greaterThanOrEqual" allowBlank="1" showInputMessage="1" showErrorMessage="1" errorTitle="Некорректное значение" error="Значение показателя отражается с положительным знаком." sqref="E147:AL152 E76:AL76"/>
    <dataValidation type="list" allowBlank="1" showInputMessage="1" showErrorMessage="1" sqref="D37">
      <formula1>"да,нет"</formula1>
    </dataValidation>
  </dataValidations>
  <hyperlinks>
    <hyperlink ref="L3" location="Предпосылки!A1" tooltip="Перейти на лист Предпосылки" display="Предпосылки"/>
    <hyperlink ref="M3" location="Выводы!A1" tooltip="Перейти на лист Выводы" display="Выводы"/>
    <hyperlink ref="J2:M2" r:id="rId1" tooltip="Написать в Техподдержку" display="Техподдержка финансовой модели Фонда: fm@frprf.ru"/>
    <hyperlink ref="I3" location="Руководство!A1" tooltip="Перейти на лист Руководство" display="Руководство"/>
    <hyperlink ref="J3" location="'Параметры займа'!A1" tooltip="Перейти на лист Параметры займа" display="Параметры займа"/>
    <hyperlink ref="K3" location="Выводы!A1" tooltip="Перейти на лист Выводы" display="Выводы"/>
    <hyperlink ref="I2:K2" r:id="rId2" tooltip="Написать в Техподдержку" display="Техподдержка финансовой модели Фонда: fm@frprf.ru"/>
  </hyperlinks>
  <pageMargins left="0.7" right="0.7" top="0.75" bottom="0.75" header="0.3" footer="0.3"/>
  <pageSetup paperSize="9" scale="31" fitToHeight="0" orientation="landscape" r:id="rId3"/>
  <legacyDrawing r:id="rId4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E4D6"/>
    <pageSetUpPr fitToPage="1"/>
  </sheetPr>
  <dimension ref="B1:AG1112"/>
  <sheetViews>
    <sheetView showGridLines="0" showRowColHeaders="0" zoomScale="80" zoomScaleNormal="80" zoomScaleSheetLayoutView="70" workbookViewId="0">
      <pane ySplit="5" topLeftCell="A6" activePane="bottomLeft" state="frozen"/>
      <selection pane="bottomLeft" activeCell="K66" sqref="K66"/>
    </sheetView>
  </sheetViews>
  <sheetFormatPr defaultColWidth="0" defaultRowHeight="15" customHeight="1" zeroHeight="1"/>
  <cols>
    <col min="1" max="1" width="2.7109375" customWidth="1"/>
    <col min="2" max="2" width="44" customWidth="1"/>
    <col min="3" max="13" width="18.85546875" customWidth="1"/>
    <col min="14" max="14" width="2.7109375" customWidth="1"/>
    <col min="15" max="26" width="15.7109375" hidden="1" customWidth="1"/>
    <col min="27" max="27" width="2.85546875" hidden="1" customWidth="1"/>
    <col min="28" max="32" width="15.7109375" hidden="1" customWidth="1"/>
    <col min="33" max="33" width="2.85546875" hidden="1" customWidth="1"/>
    <col min="34" max="50" width="0" hidden="1" customWidth="1"/>
  </cols>
  <sheetData>
    <row r="1" spans="2:32" ht="15" customHeight="1"/>
    <row r="2" spans="2:32" ht="14.45" customHeight="1">
      <c r="C2" s="315" t="s">
        <v>130</v>
      </c>
      <c r="D2" s="311" t="str">
        <f>IF(ISBLANK(Имя_Проекта),"&lt;...&gt;",Имя_Проекта&amp;" - "&amp;Программа)</f>
        <v>&lt;...&gt;</v>
      </c>
      <c r="E2" s="311"/>
      <c r="F2" s="311"/>
      <c r="G2" s="311"/>
      <c r="H2" s="311"/>
      <c r="I2" s="311"/>
      <c r="J2" s="311"/>
      <c r="K2" s="311"/>
      <c r="L2" s="311"/>
      <c r="M2" s="312"/>
    </row>
    <row r="3" spans="2:32" ht="15" customHeight="1">
      <c r="C3" s="316"/>
      <c r="D3" s="313"/>
      <c r="E3" s="313"/>
      <c r="F3" s="313"/>
      <c r="G3" s="313"/>
      <c r="H3" s="313"/>
      <c r="I3" s="313"/>
      <c r="J3" s="313"/>
      <c r="K3" s="313"/>
      <c r="L3" s="313"/>
      <c r="M3" s="314"/>
    </row>
    <row r="4" spans="2:32" ht="15" customHeight="1"/>
    <row r="5" spans="2:32" ht="31.5">
      <c r="B5" s="7" t="s">
        <v>132</v>
      </c>
      <c r="C5" s="7"/>
      <c r="E5" s="7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</row>
    <row r="6" spans="2:32" ht="15" customHeight="1"/>
    <row r="7" spans="2:32" ht="21">
      <c r="B7" s="26" t="s">
        <v>189</v>
      </c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</row>
    <row r="8" spans="2:32" ht="15" customHeight="1">
      <c r="B8" s="72" t="s">
        <v>195</v>
      </c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</row>
    <row r="9" spans="2:32" ht="15" customHeight="1">
      <c r="B9" s="107" t="s">
        <v>188</v>
      </c>
      <c r="C9" s="107" t="s">
        <v>12</v>
      </c>
      <c r="D9" s="107" t="s">
        <v>11</v>
      </c>
      <c r="E9" s="108" t="s">
        <v>199</v>
      </c>
      <c r="F9" s="107">
        <f>YEAR('Квартальная отчетность'!J6)</f>
        <v>2021</v>
      </c>
      <c r="G9" s="107">
        <f>F9+1</f>
        <v>2022</v>
      </c>
      <c r="H9" s="107">
        <f t="shared" ref="H9:M9" si="0">G9+1</f>
        <v>2023</v>
      </c>
      <c r="I9" s="107">
        <f t="shared" si="0"/>
        <v>2024</v>
      </c>
      <c r="J9" s="107">
        <f t="shared" si="0"/>
        <v>2025</v>
      </c>
      <c r="K9" s="107">
        <f t="shared" si="0"/>
        <v>2026</v>
      </c>
      <c r="L9" s="107">
        <f t="shared" si="0"/>
        <v>2027</v>
      </c>
      <c r="M9" s="107">
        <f t="shared" si="0"/>
        <v>2028</v>
      </c>
    </row>
    <row r="10" spans="2:32" ht="15" customHeight="1">
      <c r="B10" s="76" t="s">
        <v>81</v>
      </c>
      <c r="C10" s="75" t="str">
        <f>Единица_измерения</f>
        <v>тыс. руб.</v>
      </c>
      <c r="D10" s="77">
        <f>SUM(F10:M10)</f>
        <v>217384.03000000003</v>
      </c>
      <c r="E10" s="77">
        <f>SUMPRODUCT('Квартальная отчетность'!E12:AL12,'Квартальная отчетность'!E16:AL16)</f>
        <v>217384.03000000003</v>
      </c>
      <c r="F10" s="78">
        <f>SUMIF('Квартальная отчетность'!$E$9:$AL$9,Выводы!F$9,'Квартальная отчетность'!$E16:$AL16)</f>
        <v>0</v>
      </c>
      <c r="G10" s="78">
        <f>SUMIF('Квартальная отчетность'!$E$9:$AL$9,Выводы!G$9,'Квартальная отчетность'!$E16:$AL16)</f>
        <v>5206.3999999999996</v>
      </c>
      <c r="H10" s="78">
        <f>SUMIF('Квартальная отчетность'!$E$9:$AL$9,Выводы!H$9,'Квартальная отчетность'!$E16:$AL16)</f>
        <v>31381.52</v>
      </c>
      <c r="I10" s="78">
        <f>SUMIF('Квартальная отчетность'!$E$9:$AL$9,Выводы!I$9,'Квартальная отчетность'!$E16:$AL16)</f>
        <v>42362.020000000004</v>
      </c>
      <c r="J10" s="78">
        <f>SUMIF('Квартальная отчетность'!$E$9:$AL$9,Выводы!J$9,'Квартальная отчетность'!$E16:$AL16)</f>
        <v>65865.570000000007</v>
      </c>
      <c r="K10" s="78">
        <f>SUMIF('Квартальная отчетность'!$E$9:$AL$9,Выводы!K$9,'Квартальная отчетность'!$E16:$AL16)</f>
        <v>72568.52</v>
      </c>
      <c r="L10" s="78"/>
      <c r="M10" s="78"/>
    </row>
    <row r="11" spans="2:32" ht="15" customHeight="1">
      <c r="B11" s="79" t="s">
        <v>196</v>
      </c>
      <c r="C11" s="84" t="str">
        <f>Единица_измерения</f>
        <v>тыс. руб.</v>
      </c>
      <c r="D11" s="80">
        <f>SUM(F11:M11)</f>
        <v>15030.314418246551</v>
      </c>
      <c r="E11" s="80">
        <f>SUMPRODUCT('Квартальная отчетность'!E12:AL12,'Квартальная отчетность'!E35:AL35)</f>
        <v>15030.314418246548</v>
      </c>
      <c r="F11" s="78">
        <f>SUMIF('Квартальная отчетность'!$E$9:$AL$9,Выводы!F$9,'Квартальная отчетность'!$E35:$AL35)</f>
        <v>0</v>
      </c>
      <c r="G11" s="78">
        <f>SUMIF('Квартальная отчетность'!$E$9:$AL$9,Выводы!G$9,'Квартальная отчетность'!$E35:$AL35)</f>
        <v>436.99384424089192</v>
      </c>
      <c r="H11" s="78">
        <f>SUMIF('Квартальная отчетность'!$E$9:$AL$9,Выводы!H$9,'Квартальная отчетность'!$E35:$AL35)</f>
        <v>2452.7811570265685</v>
      </c>
      <c r="I11" s="78">
        <f>SUMIF('Квартальная отчетность'!$E$9:$AL$9,Выводы!I$9,'Квартальная отчетность'!$E35:$AL35)</f>
        <v>2993.2065601525592</v>
      </c>
      <c r="J11" s="78">
        <f>SUMIF('Квартальная отчетность'!$E$9:$AL$9,Выводы!J$9,'Квартальная отчетность'!$E35:$AL35)</f>
        <v>4454.3498534451592</v>
      </c>
      <c r="K11" s="78">
        <f>SUMIF('Квартальная отчетность'!$E$9:$AL$9,Выводы!K$9,'Квартальная отчетность'!$E35:$AL35)</f>
        <v>4692.9830033813723</v>
      </c>
      <c r="L11" s="78"/>
      <c r="M11" s="78"/>
    </row>
    <row r="12" spans="2:32" ht="15" customHeight="1">
      <c r="B12" s="79" t="s">
        <v>520</v>
      </c>
      <c r="C12" s="84" t="s">
        <v>521</v>
      </c>
      <c r="D12" s="205">
        <f>SUM(F12:M12)</f>
        <v>5</v>
      </c>
      <c r="E12" s="205">
        <f ca="1">SUMIF('Квартальная отчетность'!$C$269:$J$269,"&lt;="&amp;YEAR('Параметры займа'!$J$11),'Квартальная отчетность'!$C$270:$H$270)</f>
        <v>5</v>
      </c>
      <c r="F12" s="206">
        <f>'Квартальная отчетность'!C$270</f>
        <v>0</v>
      </c>
      <c r="G12" s="206">
        <f>'Квартальная отчетность'!D$270</f>
        <v>5</v>
      </c>
      <c r="H12" s="206">
        <f>'Квартальная отчетность'!E$270</f>
        <v>0</v>
      </c>
      <c r="I12" s="206">
        <f>'Квартальная отчетность'!F$270</f>
        <v>0</v>
      </c>
      <c r="J12" s="206">
        <f>'Квартальная отчетность'!G$270</f>
        <v>0</v>
      </c>
      <c r="K12" s="206">
        <f>'Квартальная отчетность'!H$270</f>
        <v>0</v>
      </c>
      <c r="L12" s="206"/>
      <c r="M12" s="206"/>
    </row>
    <row r="13" spans="2:32" ht="15" customHeight="1">
      <c r="B13" s="79" t="str">
        <f>IF(ISNUMBER(SEARCH("*Производительность труда",Программа)),"Прирост производительности труда",IF(ISNUMBER(SEARCH("*Цифровизация",Программа)),"Среднегодовой рост выработки на 1 сотрудника","-"))</f>
        <v>-</v>
      </c>
      <c r="C13" s="84" t="str">
        <f>IF(OR(ISNUMBER(SEARCH("*Производительность труда",Программа)),ISNUMBER(SEARCH("*Цифровизация",Программа))),"%","-")</f>
        <v>-</v>
      </c>
      <c r="D13" s="207" t="s">
        <v>522</v>
      </c>
      <c r="E13" s="207" t="s">
        <v>522</v>
      </c>
      <c r="F13" s="208" t="str">
        <f>IF(ISNUMBER(SEARCH("*Производительность труда",Программа)),IFERROR(INDEX('Квартальная отчетность'!$D$248:$K$248,,MATCH(F$9,'Квартальная отчетность'!$D$233:$K$233,0)),"-"),"-")</f>
        <v>-</v>
      </c>
      <c r="G13" s="208" t="str">
        <f>IF(ISNUMBER(SEARCH("*Производительность труда",Программа)),IFERROR(INDEX('Квартальная отчетность'!$D$248:$K$248,,MATCH(G$9,'Квартальная отчетность'!$D$233:$K$233,0)),"-"),"-")</f>
        <v>-</v>
      </c>
      <c r="H13" s="208" t="str">
        <f>IF(ISNUMBER(SEARCH("*Производительность труда",Программа)),IFERROR(INDEX('Квартальная отчетность'!$D$248:$K$248,,MATCH(H$9,'Квартальная отчетность'!$D$233:$K$233,0)),"-"),"-")</f>
        <v>-</v>
      </c>
      <c r="I13" s="208" t="str">
        <f>IF(ISNUMBER(SEARCH("*Производительность труда",Программа)),IFERROR(INDEX('Квартальная отчетность'!$D$248:$K$248,,MATCH(I$9,'Квартальная отчетность'!$D$233:$K$233,0)),"-"),"-")</f>
        <v>-</v>
      </c>
      <c r="J13" s="208" t="str">
        <f>IF(ISNUMBER(SEARCH("*Производительность труда",Программа)),IFERROR(INDEX('Квартальная отчетность'!$D$248:$K$248,,MATCH(J$9,'Квартальная отчетность'!$D$233:$K$233,0)),"-"),"-")</f>
        <v>-</v>
      </c>
      <c r="K13" s="208" t="str">
        <f>IF(ISNUMBER(SEARCH("*Производительность труда",Программа)),IFERROR(INDEX('Квартальная отчетность'!$D$248:$K$248,,MATCH(K$9,'Квартальная отчетность'!$D$233:$K$233,0)),"-"),"-")</f>
        <v>-</v>
      </c>
      <c r="L13" s="208"/>
      <c r="M13" s="208"/>
    </row>
    <row r="14" spans="2:32" ht="15" customHeight="1"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</row>
    <row r="15" spans="2:32" ht="21">
      <c r="B15" s="26" t="s">
        <v>197</v>
      </c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</row>
    <row r="16" spans="2:32" ht="15" customHeight="1">
      <c r="B16" s="72" t="s">
        <v>80</v>
      </c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</row>
    <row r="17" spans="2:13" ht="15" customHeight="1">
      <c r="B17" s="107" t="s">
        <v>188</v>
      </c>
      <c r="C17" s="107" t="s">
        <v>12</v>
      </c>
      <c r="D17" s="109"/>
      <c r="E17" s="109"/>
      <c r="F17" s="107">
        <f>F9</f>
        <v>2021</v>
      </c>
      <c r="G17" s="107">
        <f t="shared" ref="G17:M17" si="1">G9</f>
        <v>2022</v>
      </c>
      <c r="H17" s="107">
        <f t="shared" si="1"/>
        <v>2023</v>
      </c>
      <c r="I17" s="107">
        <f t="shared" si="1"/>
        <v>2024</v>
      </c>
      <c r="J17" s="107">
        <f t="shared" si="1"/>
        <v>2025</v>
      </c>
      <c r="K17" s="107">
        <f t="shared" si="1"/>
        <v>2026</v>
      </c>
      <c r="L17" s="107">
        <f t="shared" si="1"/>
        <v>2027</v>
      </c>
      <c r="M17" s="107">
        <f t="shared" si="1"/>
        <v>2028</v>
      </c>
    </row>
    <row r="18" spans="2:13" ht="15" customHeight="1">
      <c r="B18" s="76" t="s">
        <v>81</v>
      </c>
      <c r="C18" s="75" t="str">
        <f>Единица_измерения</f>
        <v>тыс. руб.</v>
      </c>
      <c r="D18" s="91"/>
      <c r="E18" s="91"/>
      <c r="F18" s="78">
        <f>SUMIF('Квартальная отчетность'!$E$9:$AL$9,Выводы!F$9,'Квартальная отчетность'!$E51:$AL51)</f>
        <v>75000</v>
      </c>
      <c r="G18" s="78">
        <f>SUMIF('Квартальная отчетность'!$E$9:$AL$9,Выводы!G$9,'Квартальная отчетность'!$E51:$AL51)</f>
        <v>77206.399999999994</v>
      </c>
      <c r="H18" s="78">
        <f>SUMIF('Квартальная отчетность'!$E$9:$AL$9,Выводы!H$9,'Квартальная отчетность'!$E51:$AL51)</f>
        <v>103381.52</v>
      </c>
      <c r="I18" s="78">
        <f>SUMIF('Квартальная отчетность'!$E$9:$AL$9,Выводы!I$9,'Квартальная отчетность'!$E51:$AL51)</f>
        <v>114362.01999999999</v>
      </c>
      <c r="J18" s="78">
        <f>SUMIF('Квартальная отчетность'!$E$9:$AL$9,Выводы!J$9,'Квартальная отчетность'!$E51:$AL51)</f>
        <v>137865.57</v>
      </c>
      <c r="K18" s="78">
        <f>SUMIF('Квартальная отчетность'!$E$9:$AL$9,Выводы!K$9,'Квартальная отчетность'!$E51:$AL51)</f>
        <v>144568.52000000002</v>
      </c>
      <c r="L18" s="78"/>
      <c r="M18" s="78"/>
    </row>
    <row r="19" spans="2:13" ht="15" customHeight="1">
      <c r="B19" s="82" t="s">
        <v>422</v>
      </c>
      <c r="C19" s="92" t="s">
        <v>94</v>
      </c>
      <c r="D19" s="91"/>
      <c r="E19" s="91"/>
      <c r="F19" s="83" t="str">
        <f>IFERROR(F18/E18-1,"-")</f>
        <v>-</v>
      </c>
      <c r="G19" s="83">
        <f t="shared" ref="G19:K19" si="2">IFERROR(G18/F18-1,"-")</f>
        <v>2.9418666666666482E-2</v>
      </c>
      <c r="H19" s="83">
        <f t="shared" si="2"/>
        <v>0.33902785261325508</v>
      </c>
      <c r="I19" s="83">
        <f t="shared" si="2"/>
        <v>0.10621337353136218</v>
      </c>
      <c r="J19" s="83">
        <f t="shared" si="2"/>
        <v>0.20551884270669607</v>
      </c>
      <c r="K19" s="83">
        <f t="shared" si="2"/>
        <v>4.8619463148050768E-2</v>
      </c>
      <c r="L19" s="83"/>
      <c r="M19" s="83"/>
    </row>
    <row r="20" spans="2:13" ht="15" customHeight="1">
      <c r="B20" s="79" t="s">
        <v>190</v>
      </c>
      <c r="C20" s="84" t="str">
        <f>Единица_измерения</f>
        <v>тыс. руб.</v>
      </c>
      <c r="D20" s="91"/>
      <c r="E20" s="91"/>
      <c r="F20" s="78">
        <f>SUMIF('Квартальная отчетность'!$E$9:$AL$9,Выводы!F$9,'Квартальная отчетность'!$E54:$AL54)</f>
        <v>36900</v>
      </c>
      <c r="G20" s="78">
        <f>SUMIF('Квартальная отчетность'!$E$9:$AL$9,Выводы!G$9,'Квартальная отчетность'!$E54:$AL54)</f>
        <v>37206.399999999994</v>
      </c>
      <c r="H20" s="78">
        <f>SUMIF('Квартальная отчетность'!$E$9:$AL$9,Выводы!H$9,'Квартальная отчетность'!$E54:$AL54)</f>
        <v>46381.520000000004</v>
      </c>
      <c r="I20" s="78">
        <f>SUMIF('Квартальная отчетность'!$E$9:$AL$9,Выводы!I$9,'Квартальная отчетность'!$E54:$AL54)</f>
        <v>50362.020000000004</v>
      </c>
      <c r="J20" s="78">
        <f>SUMIF('Квартальная отчетность'!$E$9:$AL$9,Выводы!J$9,'Квартальная отчетность'!$E54:$AL54)</f>
        <v>63865.570000000007</v>
      </c>
      <c r="K20" s="78">
        <f>SUMIF('Квартальная отчетность'!$E$9:$AL$9,Выводы!K$9,'Квартальная отчетность'!$E54:$AL54)</f>
        <v>68568.520000000019</v>
      </c>
      <c r="L20" s="78"/>
      <c r="M20" s="78"/>
    </row>
    <row r="21" spans="2:13" ht="15" customHeight="1">
      <c r="B21" s="82" t="s">
        <v>115</v>
      </c>
      <c r="C21" s="92" t="s">
        <v>94</v>
      </c>
      <c r="D21" s="91"/>
      <c r="E21" s="91"/>
      <c r="F21" s="83">
        <f t="shared" ref="F21:K21" si="3">IFERROR(F20/F$18,"-")</f>
        <v>0.49199999999999999</v>
      </c>
      <c r="G21" s="83">
        <f t="shared" si="3"/>
        <v>0.48190823558668705</v>
      </c>
      <c r="H21" s="83">
        <f t="shared" si="3"/>
        <v>0.44864420643070446</v>
      </c>
      <c r="I21" s="83">
        <f t="shared" si="3"/>
        <v>0.44037364852422167</v>
      </c>
      <c r="J21" s="83">
        <f t="shared" si="3"/>
        <v>0.46324524680092355</v>
      </c>
      <c r="K21" s="83">
        <f t="shared" si="3"/>
        <v>0.47429772401349901</v>
      </c>
      <c r="L21" s="83"/>
      <c r="M21" s="83"/>
    </row>
    <row r="22" spans="2:13" ht="15" customHeight="1">
      <c r="B22" s="79" t="s">
        <v>108</v>
      </c>
      <c r="C22" s="84" t="str">
        <f>Единица_измерения</f>
        <v>тыс. руб.</v>
      </c>
      <c r="D22" s="91"/>
      <c r="E22" s="91"/>
      <c r="F22" s="78">
        <f>SUMIF('Квартальная отчетность'!$E$9:$AL$9,Выводы!F$9,'Квартальная отчетность'!$E72:$AL72)</f>
        <v>16395</v>
      </c>
      <c r="G22" s="78">
        <f>SUMIF('Квартальная отчетность'!$E$9:$AL$9,Выводы!G$9,'Квартальная отчетность'!$E72:$AL72)</f>
        <v>18022.399999999994</v>
      </c>
      <c r="H22" s="78">
        <f>SUMIF('Квартальная отчетность'!$E$9:$AL$9,Выводы!H$9,'Квартальная отчетность'!$E72:$AL72)</f>
        <v>31717.520000000004</v>
      </c>
      <c r="I22" s="78">
        <f>SUMIF('Квартальная отчетность'!$E$9:$AL$9,Выводы!I$9,'Квартальная отчетность'!$E72:$AL72)</f>
        <v>35698.020000000004</v>
      </c>
      <c r="J22" s="78">
        <f>SUMIF('Квартальная отчетность'!$E$9:$AL$9,Выводы!J$9,'Квартальная отчетность'!$E72:$AL72)</f>
        <v>49201.570000000007</v>
      </c>
      <c r="K22" s="78">
        <f>SUMIF('Квартальная отчетность'!$E$9:$AL$9,Выводы!K$9,'Квартальная отчетность'!$E72:$AL72)</f>
        <v>53904.520000000019</v>
      </c>
      <c r="L22" s="78"/>
      <c r="M22" s="78"/>
    </row>
    <row r="23" spans="2:13" ht="15" customHeight="1">
      <c r="B23" s="82" t="s">
        <v>119</v>
      </c>
      <c r="C23" s="92" t="s">
        <v>94</v>
      </c>
      <c r="D23" s="91"/>
      <c r="E23" s="91"/>
      <c r="F23" s="83">
        <f t="shared" ref="F23" si="4">IFERROR(F22/F$18,"-")</f>
        <v>0.21859999999999999</v>
      </c>
      <c r="G23" s="83">
        <f t="shared" ref="G23:I23" si="5">IFERROR(G22/G$18,"-")</f>
        <v>0.2334314253740622</v>
      </c>
      <c r="H23" s="83">
        <f t="shared" si="5"/>
        <v>0.30680067385350884</v>
      </c>
      <c r="I23" s="83">
        <f t="shared" si="5"/>
        <v>0.3121492607423339</v>
      </c>
      <c r="J23" s="83">
        <f t="shared" ref="J23:K23" si="6">IFERROR(J22/J$18,"-")</f>
        <v>0.35688076435617683</v>
      </c>
      <c r="K23" s="83">
        <f t="shared" si="6"/>
        <v>0.3728648532889457</v>
      </c>
      <c r="L23" s="83"/>
      <c r="M23" s="83"/>
    </row>
    <row r="24" spans="2:13" ht="15" customHeight="1">
      <c r="B24" s="79" t="s">
        <v>109</v>
      </c>
      <c r="C24" s="84" t="str">
        <f>Единица_измерения</f>
        <v>тыс. руб.</v>
      </c>
      <c r="D24" s="91"/>
      <c r="E24" s="91"/>
      <c r="F24" s="78">
        <f>SUMIF('Квартальная отчетность'!$E$9:$AL$9,Выводы!F$9,'Квартальная отчетность'!$E70:$AL70)</f>
        <v>15647</v>
      </c>
      <c r="G24" s="78">
        <f>SUMIF('Квартальная отчетность'!$E$9:$AL$9,Выводы!G$9,'Квартальная отчетность'!$E70:$AL70)</f>
        <v>16526.399999999994</v>
      </c>
      <c r="H24" s="78">
        <f>SUMIF('Квартальная отчетность'!$E$9:$AL$9,Выводы!H$9,'Квартальная отчетность'!$E70:$AL70)</f>
        <v>25701.520000000004</v>
      </c>
      <c r="I24" s="78">
        <f>SUMIF('Квартальная отчетность'!$E$9:$AL$9,Выводы!I$9,'Квартальная отчетность'!$E70:$AL70)</f>
        <v>29682.020000000004</v>
      </c>
      <c r="J24" s="78">
        <f>SUMIF('Квартальная отчетность'!$E$9:$AL$9,Выводы!J$9,'Квартальная отчетность'!$E70:$AL70)</f>
        <v>43185.570000000007</v>
      </c>
      <c r="K24" s="78">
        <f>SUMIF('Квартальная отчетность'!$E$9:$AL$9,Выводы!K$9,'Квартальная отчетность'!$E70:$AL70)</f>
        <v>47888.520000000019</v>
      </c>
      <c r="L24" s="78"/>
      <c r="M24" s="78"/>
    </row>
    <row r="25" spans="2:13" ht="15" customHeight="1">
      <c r="B25" s="82" t="s">
        <v>118</v>
      </c>
      <c r="C25" s="92" t="s">
        <v>94</v>
      </c>
      <c r="D25" s="91"/>
      <c r="E25" s="91"/>
      <c r="F25" s="83">
        <f t="shared" ref="F25:K25" si="7">IFERROR(F24/F$18,"-")</f>
        <v>0.20862666666666665</v>
      </c>
      <c r="G25" s="83">
        <f t="shared" si="7"/>
        <v>0.2140547933850043</v>
      </c>
      <c r="H25" s="83">
        <f t="shared" si="7"/>
        <v>0.24860845536030041</v>
      </c>
      <c r="I25" s="83">
        <f t="shared" si="7"/>
        <v>0.25954438370361077</v>
      </c>
      <c r="J25" s="83">
        <f t="shared" si="7"/>
        <v>0.3132440536096141</v>
      </c>
      <c r="K25" s="83">
        <f t="shared" si="7"/>
        <v>0.33125136786348791</v>
      </c>
      <c r="L25" s="83"/>
      <c r="M25" s="83"/>
    </row>
    <row r="26" spans="2:13" ht="15" customHeight="1">
      <c r="B26" s="112" t="s">
        <v>479</v>
      </c>
      <c r="C26" s="84" t="str">
        <f>Единица_измерения</f>
        <v>тыс. руб.</v>
      </c>
      <c r="D26" s="91"/>
      <c r="E26" s="91"/>
      <c r="F26" s="78">
        <f>SUMIF('Квартальная отчетность'!$E$9:$AL$9,Выводы!F$9,'Квартальная отчетность'!$E62:$AL62)</f>
        <v>-23</v>
      </c>
      <c r="G26" s="78">
        <f>SUMIF('Квартальная отчетность'!$E$9:$AL$9,Выводы!G$9,'Квартальная отчетность'!$E62:$AL62)</f>
        <v>-451</v>
      </c>
      <c r="H26" s="78">
        <f>SUMIF('Квартальная отчетность'!$E$9:$AL$9,Выводы!H$9,'Квартальная отчетность'!$E62:$AL62)</f>
        <v>-451</v>
      </c>
      <c r="I26" s="78">
        <f>SUMIF('Квартальная отчетность'!$E$9:$AL$9,Выводы!I$9,'Квартальная отчетность'!$E62:$AL62)</f>
        <v>-398</v>
      </c>
      <c r="J26" s="78">
        <f>SUMIF('Квартальная отчетность'!$E$9:$AL$9,Выводы!J$9,'Квартальная отчетность'!$E62:$AL62)</f>
        <v>-248</v>
      </c>
      <c r="K26" s="78">
        <f>SUMIF('Квартальная отчетность'!$E$9:$AL$9,Выводы!K$9,'Квартальная отчетность'!$E62:$AL62)</f>
        <v>-96</v>
      </c>
      <c r="L26" s="78"/>
      <c r="M26" s="78"/>
    </row>
    <row r="27" spans="2:13" ht="15" customHeight="1">
      <c r="B27" s="79" t="s">
        <v>191</v>
      </c>
      <c r="C27" s="84" t="str">
        <f>Единица_измерения</f>
        <v>тыс. руб.</v>
      </c>
      <c r="D27" s="91"/>
      <c r="E27" s="91"/>
      <c r="F27" s="78">
        <f>SUMIF('Квартальная отчетность'!$E$9:$AL$9,Выводы!F$9,'Квартальная отчетность'!$E68:$AL68)</f>
        <v>14073</v>
      </c>
      <c r="G27" s="78">
        <f>SUMIF('Квартальная отчетность'!$E$9:$AL$9,Выводы!G$9,'Квартальная отчетность'!$E68:$AL68)</f>
        <v>10095.399999999994</v>
      </c>
      <c r="H27" s="78">
        <f>SUMIF('Квартальная отчетность'!$E$9:$AL$9,Выводы!H$9,'Квартальная отчетность'!$E68:$AL68)</f>
        <v>18290.520000000004</v>
      </c>
      <c r="I27" s="78">
        <f>SUMIF('Квартальная отчетность'!$E$9:$AL$9,Выводы!I$9,'Квартальная отчетность'!$E68:$AL68)</f>
        <v>22324.020000000004</v>
      </c>
      <c r="J27" s="78">
        <f>SUMIF('Квартальная отчетность'!$E$9:$AL$9,Выводы!J$9,'Квартальная отчетность'!$E68:$AL68)</f>
        <v>34737.570000000007</v>
      </c>
      <c r="K27" s="78">
        <f>SUMIF('Квартальная отчетность'!$E$9:$AL$9,Выводы!K$9,'Квартальная отчетность'!$E68:$AL68)</f>
        <v>39592.520000000019</v>
      </c>
      <c r="L27" s="78"/>
      <c r="M27" s="78"/>
    </row>
    <row r="28" spans="2:13" ht="15" customHeight="1">
      <c r="B28" s="82" t="s">
        <v>117</v>
      </c>
      <c r="C28" s="92" t="str">
        <f>Единица_измерения</f>
        <v>тыс. руб.</v>
      </c>
      <c r="D28" s="91"/>
      <c r="E28" s="91"/>
      <c r="F28" s="83">
        <f t="shared" ref="F28" si="8">IFERROR(F27/F$18,"-")</f>
        <v>0.18764</v>
      </c>
      <c r="G28" s="83">
        <f t="shared" ref="G28:I28" si="9">IFERROR(G27/G$18,"-")</f>
        <v>0.1307585899614539</v>
      </c>
      <c r="H28" s="83">
        <f t="shared" si="9"/>
        <v>0.17692252928763286</v>
      </c>
      <c r="I28" s="83">
        <f t="shared" si="9"/>
        <v>0.19520484160737986</v>
      </c>
      <c r="J28" s="83">
        <f t="shared" ref="J28:K28" si="10">IFERROR(J27/J$18,"-")</f>
        <v>0.25196697043358979</v>
      </c>
      <c r="K28" s="83">
        <f t="shared" si="10"/>
        <v>0.27386681415843511</v>
      </c>
      <c r="L28" s="83"/>
      <c r="M28" s="83"/>
    </row>
    <row r="29" spans="2:13" ht="15" customHeight="1"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</row>
    <row r="30" spans="2:13" ht="15" customHeight="1">
      <c r="B30" s="72" t="s">
        <v>95</v>
      </c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</row>
    <row r="31" spans="2:13" ht="15" customHeight="1">
      <c r="B31" s="107" t="s">
        <v>188</v>
      </c>
      <c r="C31" s="107" t="s">
        <v>12</v>
      </c>
      <c r="D31" s="109"/>
      <c r="E31" s="109"/>
      <c r="F31" s="107">
        <f t="shared" ref="F31:M31" si="11">F17</f>
        <v>2021</v>
      </c>
      <c r="G31" s="107">
        <f t="shared" si="11"/>
        <v>2022</v>
      </c>
      <c r="H31" s="107">
        <f t="shared" si="11"/>
        <v>2023</v>
      </c>
      <c r="I31" s="107">
        <f t="shared" si="11"/>
        <v>2024</v>
      </c>
      <c r="J31" s="107">
        <f t="shared" si="11"/>
        <v>2025</v>
      </c>
      <c r="K31" s="107">
        <f t="shared" si="11"/>
        <v>2026</v>
      </c>
      <c r="L31" s="107">
        <f t="shared" si="11"/>
        <v>2027</v>
      </c>
      <c r="M31" s="107">
        <f t="shared" si="11"/>
        <v>2028</v>
      </c>
    </row>
    <row r="32" spans="2:13" ht="15" customHeight="1">
      <c r="B32" s="76" t="s">
        <v>320</v>
      </c>
      <c r="C32" s="75" t="str">
        <f>Единица_измерения</f>
        <v>тыс. руб.</v>
      </c>
      <c r="D32" s="91"/>
      <c r="E32" s="91"/>
      <c r="F32" s="78">
        <f>SUMIF('Квартальная отчетность'!$E$9:$AL$9,Выводы!F$9,'Квартальная отчетность'!$E97:$AL97)</f>
        <v>2223</v>
      </c>
      <c r="G32" s="78">
        <f>SUMIF('Квартальная отчетность'!$E$9:$AL$9,Выводы!G$9,'Квартальная отчетность'!$E97:$AL97)</f>
        <v>18927.399999999994</v>
      </c>
      <c r="H32" s="78">
        <f>SUMIF('Квартальная отчетность'!$E$9:$AL$9,Выводы!H$9,'Квартальная отчетность'!$E97:$AL97)</f>
        <v>22130.520000000004</v>
      </c>
      <c r="I32" s="78">
        <f>SUMIF('Квартальная отчетность'!$E$9:$AL$9,Выводы!I$9,'Квартальная отчетность'!$E97:$AL97)</f>
        <v>26164.020000000004</v>
      </c>
      <c r="J32" s="78">
        <f>SUMIF('Квартальная отчетность'!$E$9:$AL$9,Выводы!J$9,'Квартальная отчетность'!$E97:$AL97)</f>
        <v>38577.570000000007</v>
      </c>
      <c r="K32" s="78">
        <f>SUMIF('Квартальная отчетность'!$E$9:$AL$9,Выводы!K$9,'Квартальная отчетность'!$E97:$AL97)</f>
        <v>43432.520000000019</v>
      </c>
      <c r="L32" s="78"/>
      <c r="M32" s="78"/>
    </row>
    <row r="33" spans="2:16" ht="15" customHeight="1">
      <c r="B33" s="79" t="s">
        <v>192</v>
      </c>
      <c r="C33" s="84" t="str">
        <f>Единица_измерения</f>
        <v>тыс. руб.</v>
      </c>
      <c r="D33" s="91"/>
      <c r="E33" s="91"/>
      <c r="F33" s="78">
        <f>SUMIF('Квартальная отчетность'!$E$9:$AL$9,Выводы!F$9,'Квартальная отчетность'!$E116:$AL116)</f>
        <v>-35486</v>
      </c>
      <c r="G33" s="78">
        <f>SUMIF('Квартальная отчетность'!$E$9:$AL$9,Выводы!G$9,'Квартальная отчетность'!$E116:$AL116)</f>
        <v>-2514</v>
      </c>
      <c r="H33" s="78">
        <f>SUMIF('Квартальная отчетность'!$E$9:$AL$9,Выводы!H$9,'Квартальная отчетность'!$E116:$AL116)</f>
        <v>0</v>
      </c>
      <c r="I33" s="78">
        <f>SUMIF('Квартальная отчетность'!$E$9:$AL$9,Выводы!I$9,'Квартальная отчетность'!$E116:$AL116)</f>
        <v>0</v>
      </c>
      <c r="J33" s="78">
        <f>SUMIF('Квартальная отчетность'!$E$9:$AL$9,Выводы!J$9,'Квартальная отчетность'!$E116:$AL116)</f>
        <v>0</v>
      </c>
      <c r="K33" s="78">
        <f>SUMIF('Квартальная отчетность'!$E$9:$AL$9,Выводы!K$9,'Квартальная отчетность'!$E116:$AL116)</f>
        <v>0</v>
      </c>
      <c r="L33" s="78"/>
      <c r="M33" s="78"/>
    </row>
    <row r="34" spans="2:16" ht="15" customHeight="1">
      <c r="B34" s="79" t="s">
        <v>193</v>
      </c>
      <c r="C34" s="84" t="str">
        <f>Единица_измерения</f>
        <v>тыс. руб.</v>
      </c>
      <c r="D34" s="91"/>
      <c r="E34" s="91"/>
      <c r="F34" s="78">
        <f>SUMIF('Квартальная отчетность'!$E$9:$AL$9,Выводы!F$9,'Квартальная отчетность'!$E135:$AL135)</f>
        <v>30000</v>
      </c>
      <c r="G34" s="78">
        <f>SUMIF('Квартальная отчетность'!$E$9:$AL$9,Выводы!G$9,'Квартальная отчетность'!$E135:$AL135)</f>
        <v>0</v>
      </c>
      <c r="H34" s="78">
        <f>SUMIF('Квартальная отчетность'!$E$9:$AL$9,Выводы!H$9,'Квартальная отчетность'!$E135:$AL135)</f>
        <v>0</v>
      </c>
      <c r="I34" s="78">
        <f>SUMIF('Квартальная отчетность'!$E$9:$AL$9,Выводы!I$9,'Квартальная отчетность'!$E135:$AL135)</f>
        <v>-10000</v>
      </c>
      <c r="J34" s="78">
        <f>SUMIF('Квартальная отчетность'!$E$9:$AL$9,Выводы!J$9,'Квартальная отчетность'!$E135:$AL135)</f>
        <v>-10000</v>
      </c>
      <c r="K34" s="78">
        <f>SUMIF('Квартальная отчетность'!$E$9:$AL$9,Выводы!K$9,'Квартальная отчетность'!$E135:$AL135)</f>
        <v>-10000</v>
      </c>
      <c r="L34" s="78"/>
      <c r="M34" s="78"/>
    </row>
    <row r="35" spans="2:16" ht="15" customHeight="1">
      <c r="B35" s="85" t="s">
        <v>194</v>
      </c>
      <c r="C35" s="86" t="str">
        <f>Единица_измерения</f>
        <v>тыс. руб.</v>
      </c>
      <c r="D35" s="93"/>
      <c r="E35" s="93"/>
      <c r="F35" s="87">
        <f>SUM(F32,F33,F34)</f>
        <v>-3263</v>
      </c>
      <c r="G35" s="87">
        <f t="shared" ref="G35:K35" si="12">SUM(G32,G33,G34)</f>
        <v>16413.399999999994</v>
      </c>
      <c r="H35" s="87">
        <f t="shared" si="12"/>
        <v>22130.520000000004</v>
      </c>
      <c r="I35" s="87">
        <f t="shared" si="12"/>
        <v>16164.020000000004</v>
      </c>
      <c r="J35" s="87">
        <f t="shared" si="12"/>
        <v>28577.570000000007</v>
      </c>
      <c r="K35" s="87">
        <f t="shared" si="12"/>
        <v>33432.520000000019</v>
      </c>
      <c r="L35" s="87"/>
      <c r="M35" s="87"/>
    </row>
    <row r="36" spans="2:16" ht="15" customHeight="1">
      <c r="B36" s="25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</row>
    <row r="37" spans="2:16" ht="15" customHeight="1">
      <c r="B37" s="72" t="s">
        <v>63</v>
      </c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</row>
    <row r="38" spans="2:16" ht="15" customHeight="1">
      <c r="B38" s="73" t="s">
        <v>200</v>
      </c>
      <c r="C38" s="74"/>
      <c r="D38" s="74"/>
      <c r="E38" s="27"/>
      <c r="F38" s="27"/>
      <c r="G38" s="27"/>
      <c r="H38" s="27"/>
      <c r="I38" s="27"/>
      <c r="J38" s="27"/>
      <c r="K38" s="27"/>
      <c r="L38" s="27"/>
      <c r="M38" s="27"/>
      <c r="N38" s="5"/>
      <c r="O38" s="5"/>
      <c r="P38" s="5"/>
    </row>
    <row r="39" spans="2:16" ht="15" customHeight="1">
      <c r="B39" s="107" t="s">
        <v>188</v>
      </c>
      <c r="C39" s="107" t="s">
        <v>12</v>
      </c>
      <c r="D39" s="107"/>
      <c r="E39" s="109"/>
      <c r="F39" s="107">
        <f>F31</f>
        <v>2021</v>
      </c>
      <c r="G39" s="107">
        <f t="shared" ref="G39:M39" si="13">G31</f>
        <v>2022</v>
      </c>
      <c r="H39" s="107">
        <f t="shared" si="13"/>
        <v>2023</v>
      </c>
      <c r="I39" s="107">
        <f t="shared" si="13"/>
        <v>2024</v>
      </c>
      <c r="J39" s="107">
        <f t="shared" si="13"/>
        <v>2025</v>
      </c>
      <c r="K39" s="107">
        <f t="shared" si="13"/>
        <v>2026</v>
      </c>
      <c r="L39" s="107">
        <f t="shared" si="13"/>
        <v>2027</v>
      </c>
      <c r="M39" s="107">
        <f t="shared" si="13"/>
        <v>2028</v>
      </c>
    </row>
    <row r="40" spans="2:16" ht="15" customHeight="1">
      <c r="B40" s="76" t="s">
        <v>65</v>
      </c>
      <c r="C40" s="75" t="str">
        <f t="shared" ref="C40:C46" si="14">Единица_измерения</f>
        <v>тыс. руб.</v>
      </c>
      <c r="D40" s="91"/>
      <c r="E40" s="91"/>
      <c r="F40" s="214">
        <f>SUMIFS('Квартальная отчетность'!$E$160:$AL$160,'Квартальная отчетность'!$E$9:$AL$9,Выводы!F$39,'Квартальная отчетность'!$E$11:$AL$11,4)</f>
        <v>1649</v>
      </c>
      <c r="G40" s="214">
        <f>SUMIFS('Квартальная отчетность'!$E$160:$AL$160,'Квартальная отчетность'!$E$9:$AL$9,Выводы!G$39,'Квартальная отчетность'!$E$11:$AL$11,4)</f>
        <v>31666.666666666668</v>
      </c>
      <c r="H40" s="214">
        <f>SUMIFS('Квартальная отчетность'!$E$160:$AL$160,'Квартальная отчетность'!$E$9:$AL$9,Выводы!H$39,'Квартальная отчетность'!$E$11:$AL$11,4)</f>
        <v>25650.666666666668</v>
      </c>
      <c r="I40" s="214">
        <f>SUMIFS('Квартальная отчетность'!$E$160:$AL$160,'Квартальная отчетность'!$E$9:$AL$9,Выводы!I$39,'Квартальная отчетность'!$E$11:$AL$11,4)</f>
        <v>19634.666666666668</v>
      </c>
      <c r="J40" s="214">
        <f>SUMIFS('Квартальная отчетность'!$E$160:$AL$160,'Квартальная отчетность'!$E$9:$AL$9,Выводы!J$39,'Квартальная отчетность'!$E$11:$AL$11,4)</f>
        <v>13618.666666666668</v>
      </c>
      <c r="K40" s="214">
        <f>SUMIFS('Квартальная отчетность'!$E$160:$AL$160,'Квартальная отчетность'!$E$9:$AL$9,Выводы!K$39,'Квартальная отчетность'!$E$11:$AL$11,4)</f>
        <v>7602.6666666666679</v>
      </c>
      <c r="L40" s="78"/>
      <c r="M40" s="78"/>
    </row>
    <row r="41" spans="2:16" ht="15" customHeight="1">
      <c r="B41" s="85" t="s">
        <v>64</v>
      </c>
      <c r="C41" s="86" t="str">
        <f t="shared" si="14"/>
        <v>тыс. руб.</v>
      </c>
      <c r="D41" s="93"/>
      <c r="E41" s="93"/>
      <c r="F41" s="215">
        <f>SUMIFS('Квартальная отчетность'!$E$165:$AL$165,'Квартальная отчетность'!$E$9:$AL$9,Выводы!F$39,'Квартальная отчетность'!$E$11:$AL$11,4)</f>
        <v>1649</v>
      </c>
      <c r="G41" s="215">
        <f>SUMIFS('Квартальная отчетность'!$E$165:$AL$165,'Квартальная отчетность'!$E$9:$AL$9,Выводы!G$39,'Квартальная отчетность'!$E$11:$AL$11,4)</f>
        <v>31666.666666666668</v>
      </c>
      <c r="H41" s="215">
        <f>SUMIFS('Квартальная отчетность'!$E$165:$AL$165,'Квартальная отчетность'!$E$9:$AL$9,Выводы!H$39,'Квартальная отчетность'!$E$11:$AL$11,4)</f>
        <v>25650.666666666668</v>
      </c>
      <c r="I41" s="215">
        <f>SUMIFS('Квартальная отчетность'!$E$165:$AL$165,'Квартальная отчетность'!$E$9:$AL$9,Выводы!I$39,'Квартальная отчетность'!$E$11:$AL$11,4)</f>
        <v>19634.666666666668</v>
      </c>
      <c r="J41" s="215">
        <f>SUMIFS('Квартальная отчетность'!$E$165:$AL$165,'Квартальная отчетность'!$E$9:$AL$9,Выводы!J$39,'Квартальная отчетность'!$E$11:$AL$11,4)</f>
        <v>13618.666666666668</v>
      </c>
      <c r="K41" s="215">
        <f>SUMIFS('Квартальная отчетность'!$E$165:$AL$165,'Квартальная отчетность'!$E$9:$AL$9,Выводы!K$39,'Квартальная отчетность'!$E$11:$AL$11,4)</f>
        <v>7602.6666666666679</v>
      </c>
      <c r="L41" s="95"/>
      <c r="M41" s="95"/>
    </row>
    <row r="42" spans="2:16" ht="15" customHeight="1">
      <c r="B42" s="79" t="s">
        <v>67</v>
      </c>
      <c r="C42" s="84" t="str">
        <f t="shared" si="14"/>
        <v>тыс. руб.</v>
      </c>
      <c r="D42" s="94"/>
      <c r="E42" s="94"/>
      <c r="F42" s="214">
        <f>SUMIFS('Квартальная отчетность'!$E$168:$AL$168,'Квартальная отчетность'!$E$9:$AL$9,Выводы!F$39,'Квартальная отчетность'!$E$11:$AL$11,4)</f>
        <v>14000</v>
      </c>
      <c r="G42" s="214">
        <f>SUMIFS('Квартальная отчетность'!$E$168:$AL$168,'Квартальная отчетность'!$E$9:$AL$9,Выводы!G$39,'Квартальная отчетность'!$E$11:$AL$11,4)</f>
        <v>14000</v>
      </c>
      <c r="H42" s="214">
        <f>SUMIFS('Квартальная отчетность'!$E$168:$AL$168,'Квартальная отчетность'!$E$9:$AL$9,Выводы!H$39,'Квартальная отчетность'!$E$11:$AL$11,4)</f>
        <v>14000</v>
      </c>
      <c r="I42" s="214">
        <f>SUMIFS('Квартальная отчетность'!$E$168:$AL$168,'Квартальная отчетность'!$E$9:$AL$9,Выводы!I$39,'Квартальная отчетность'!$E$11:$AL$11,4)</f>
        <v>14000</v>
      </c>
      <c r="J42" s="214">
        <f>SUMIFS('Квартальная отчетность'!$E$168:$AL$168,'Квартальная отчетность'!$E$9:$AL$9,Выводы!J$39,'Квартальная отчетность'!$E$11:$AL$11,4)</f>
        <v>14000</v>
      </c>
      <c r="K42" s="214">
        <f>SUMIFS('Квартальная отчетность'!$E$168:$AL$168,'Квартальная отчетность'!$E$9:$AL$9,Выводы!K$39,'Квартальная отчетность'!$E$11:$AL$11,4)</f>
        <v>14000</v>
      </c>
      <c r="L42" s="78"/>
      <c r="M42" s="78"/>
    </row>
    <row r="43" spans="2:16" ht="15" customHeight="1">
      <c r="B43" s="79" t="s">
        <v>69</v>
      </c>
      <c r="C43" s="84" t="str">
        <f t="shared" si="14"/>
        <v>тыс. руб.</v>
      </c>
      <c r="D43" s="94"/>
      <c r="E43" s="94"/>
      <c r="F43" s="214">
        <f>SUMIFS('Квартальная отчетность'!$E$170:$AL$170,'Квартальная отчетность'!$E$9:$AL$9,Выводы!F$39,'Квартальная отчетность'!$E$11:$AL$11,4)</f>
        <v>39919.599999999999</v>
      </c>
      <c r="G43" s="214">
        <f>SUMIFS('Квартальная отчетность'!$E$170:$AL$170,'Квартальная отчетность'!$E$9:$AL$9,Выводы!G$39,'Квартальная отчетность'!$E$11:$AL$11,4)</f>
        <v>4583.8999999999996</v>
      </c>
      <c r="H43" s="214">
        <f>SUMIFS('Квартальная отчетность'!$E$170:$AL$170,'Квартальная отчетность'!$E$9:$AL$9,Выводы!H$39,'Квартальная отчетность'!$E$11:$AL$11,4)</f>
        <v>6759.9</v>
      </c>
      <c r="I43" s="214">
        <f>SUMIFS('Квартальная отчетность'!$E$170:$AL$170,'Квартальная отчетность'!$E$9:$AL$9,Выводы!I$39,'Квартальная отчетность'!$E$11:$AL$11,4)</f>
        <v>8935.9</v>
      </c>
      <c r="J43" s="214">
        <f>SUMIFS('Квартальная отчетность'!$E$170:$AL$170,'Квартальная отчетность'!$E$9:$AL$9,Выводы!J$39,'Квартальная отчетность'!$E$11:$AL$11,4)</f>
        <v>11111.9</v>
      </c>
      <c r="K43" s="214">
        <f>SUMIFS('Квартальная отчетность'!$E$170:$AL$170,'Квартальная отчетность'!$E$9:$AL$9,Выводы!K$39,'Квартальная отчетность'!$E$11:$AL$11,4)</f>
        <v>13287.9</v>
      </c>
      <c r="L43" s="78"/>
      <c r="M43" s="78"/>
    </row>
    <row r="44" spans="2:16" ht="15" customHeight="1">
      <c r="B44" s="79" t="s">
        <v>70</v>
      </c>
      <c r="C44" s="84" t="str">
        <f t="shared" si="14"/>
        <v>тыс. руб.</v>
      </c>
      <c r="D44" s="94"/>
      <c r="E44" s="94"/>
      <c r="F44" s="214">
        <f>SUMIFS('Квартальная отчетность'!$E$172:$AL$172,'Квартальная отчетность'!$E$9:$AL$9,Выводы!F$39,'Квартальная отчетность'!$E$11:$AL$11,4)</f>
        <v>159.40000000000873</v>
      </c>
      <c r="G44" s="214">
        <f>SUMIFS('Квартальная отчетность'!$E$172:$AL$172,'Квартальная отчетность'!$E$9:$AL$9,Выводы!G$39,'Квартальная отчетность'!$E$11:$AL$11,4)</f>
        <v>16572.800000000003</v>
      </c>
      <c r="H44" s="214">
        <f>SUMIFS('Квартальная отчетность'!$E$172:$AL$172,'Квартальная отчетность'!$E$9:$AL$9,Выводы!H$39,'Квартальная отчетность'!$E$11:$AL$11,4)</f>
        <v>38703.320000000007</v>
      </c>
      <c r="I44" s="214">
        <f>SUMIFS('Квартальная отчетность'!$E$172:$AL$172,'Квартальная отчетность'!$E$9:$AL$9,Выводы!I$39,'Квартальная отчетность'!$E$11:$AL$11,4)</f>
        <v>54867.340000000018</v>
      </c>
      <c r="J44" s="214">
        <f>SUMIFS('Квартальная отчетность'!$E$172:$AL$172,'Квартальная отчетность'!$E$9:$AL$9,Выводы!J$39,'Квартальная отчетность'!$E$11:$AL$11,4)</f>
        <v>83444.910000000033</v>
      </c>
      <c r="K44" s="214">
        <f>SUMIFS('Квартальная отчетность'!$E$172:$AL$172,'Квартальная отчетность'!$E$9:$AL$9,Выводы!K$39,'Квартальная отчетность'!$E$11:$AL$11,4)</f>
        <v>116877.43000000005</v>
      </c>
      <c r="L44" s="78"/>
      <c r="M44" s="78"/>
    </row>
    <row r="45" spans="2:16" ht="15" customHeight="1">
      <c r="B45" s="85" t="s">
        <v>66</v>
      </c>
      <c r="C45" s="86" t="str">
        <f t="shared" si="14"/>
        <v>тыс. руб.</v>
      </c>
      <c r="D45" s="93"/>
      <c r="E45" s="93"/>
      <c r="F45" s="215">
        <f>SUMIFS('Квартальная отчетность'!$E$174:$AL$174,'Квартальная отчетность'!$E$9:$AL$9,Выводы!F$39,'Квартальная отчетность'!$E$11:$AL$11,4)</f>
        <v>54079.000000000007</v>
      </c>
      <c r="G45" s="215">
        <f>SUMIFS('Квартальная отчетность'!$E$174:$AL$174,'Квартальная отчетность'!$E$9:$AL$9,Выводы!G$39,'Квартальная отчетность'!$E$11:$AL$11,4)</f>
        <v>35156.700000000004</v>
      </c>
      <c r="H45" s="215">
        <f>SUMIFS('Квартальная отчетность'!$E$174:$AL$174,'Квартальная отчетность'!$E$9:$AL$9,Выводы!H$39,'Квартальная отчетность'!$E$11:$AL$11,4)</f>
        <v>59463.220000000008</v>
      </c>
      <c r="I45" s="215">
        <f>SUMIFS('Квартальная отчетность'!$E$174:$AL$174,'Квартальная отчетность'!$E$9:$AL$9,Выводы!I$39,'Квартальная отчетность'!$E$11:$AL$11,4)</f>
        <v>77803.24000000002</v>
      </c>
      <c r="J45" s="215">
        <f>SUMIFS('Квартальная отчетность'!$E$174:$AL$174,'Квартальная отчетность'!$E$9:$AL$9,Выводы!J$39,'Квартальная отчетность'!$E$11:$AL$11,4)</f>
        <v>108556.81000000003</v>
      </c>
      <c r="K45" s="215">
        <f>SUMIFS('Квартальная отчетность'!$E$174:$AL$174,'Квартальная отчетность'!$E$9:$AL$9,Выводы!K$39,'Квартальная отчетность'!$E$11:$AL$11,4)</f>
        <v>144165.33000000005</v>
      </c>
      <c r="L45" s="95"/>
      <c r="M45" s="95"/>
    </row>
    <row r="46" spans="2:16" ht="15" customHeight="1">
      <c r="B46" s="88" t="s">
        <v>76</v>
      </c>
      <c r="C46" s="89" t="str">
        <f t="shared" si="14"/>
        <v>тыс. руб.</v>
      </c>
      <c r="D46" s="96"/>
      <c r="E46" s="96"/>
      <c r="F46" s="216">
        <f t="shared" ref="F46:K46" si="15">SUM(F41,F45)</f>
        <v>55728.000000000007</v>
      </c>
      <c r="G46" s="216">
        <f t="shared" si="15"/>
        <v>66823.366666666669</v>
      </c>
      <c r="H46" s="216">
        <f t="shared" si="15"/>
        <v>85113.886666666673</v>
      </c>
      <c r="I46" s="216">
        <f t="shared" si="15"/>
        <v>97437.906666666691</v>
      </c>
      <c r="J46" s="216">
        <f t="shared" si="15"/>
        <v>122175.4766666667</v>
      </c>
      <c r="K46" s="216">
        <f t="shared" si="15"/>
        <v>151767.9966666667</v>
      </c>
      <c r="L46" s="90"/>
      <c r="M46" s="90"/>
    </row>
    <row r="47" spans="2:16" ht="15" customHeight="1">
      <c r="B47" s="25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</row>
    <row r="48" spans="2:16" ht="15" customHeight="1">
      <c r="B48" s="73" t="s">
        <v>201</v>
      </c>
      <c r="C48" s="74"/>
      <c r="D48" s="74"/>
      <c r="E48" s="27"/>
      <c r="F48" s="27"/>
      <c r="G48" s="27"/>
      <c r="H48" s="27"/>
      <c r="I48" s="27"/>
      <c r="J48" s="27"/>
      <c r="K48" s="27"/>
      <c r="L48" s="27"/>
      <c r="M48" s="27"/>
      <c r="N48" s="5"/>
      <c r="O48" s="5"/>
      <c r="P48" s="5"/>
    </row>
    <row r="49" spans="2:13" ht="15" customHeight="1">
      <c r="B49" s="107" t="s">
        <v>188</v>
      </c>
      <c r="C49" s="107" t="s">
        <v>12</v>
      </c>
      <c r="D49" s="107"/>
      <c r="E49" s="109"/>
      <c r="F49" s="107">
        <f t="shared" ref="F49:M49" si="16">F39</f>
        <v>2021</v>
      </c>
      <c r="G49" s="107">
        <f t="shared" si="16"/>
        <v>2022</v>
      </c>
      <c r="H49" s="107">
        <f t="shared" si="16"/>
        <v>2023</v>
      </c>
      <c r="I49" s="107">
        <f t="shared" si="16"/>
        <v>2024</v>
      </c>
      <c r="J49" s="107">
        <f t="shared" si="16"/>
        <v>2025</v>
      </c>
      <c r="K49" s="107">
        <f t="shared" si="16"/>
        <v>2026</v>
      </c>
      <c r="L49" s="107">
        <f t="shared" si="16"/>
        <v>2027</v>
      </c>
      <c r="M49" s="107">
        <f t="shared" si="16"/>
        <v>2028</v>
      </c>
    </row>
    <row r="50" spans="2:13" ht="15" customHeight="1">
      <c r="B50" s="76" t="s">
        <v>74</v>
      </c>
      <c r="C50" s="75" t="str">
        <f t="shared" ref="C50:C59" si="17">Единица_измерения</f>
        <v>тыс. руб.</v>
      </c>
      <c r="D50" s="91"/>
      <c r="E50" s="91"/>
      <c r="F50" s="214">
        <f>SUMIFS('Квартальная отчетность'!$E$179:$AL$179,'Квартальная отчетность'!$E$9:$AL$9,Выводы!F$39,'Квартальная отчетность'!$E$11:$AL$11,4)</f>
        <v>10</v>
      </c>
      <c r="G50" s="214">
        <f>SUMIFS('Квартальная отчетность'!$E$179:$AL$179,'Квартальная отчетность'!$E$9:$AL$9,Выводы!G$39,'Квартальная отчетность'!$E$11:$AL$11,4)</f>
        <v>10</v>
      </c>
      <c r="H50" s="214">
        <f>SUMIFS('Квартальная отчетность'!$E$179:$AL$179,'Квартальная отчетность'!$E$9:$AL$9,Выводы!H$39,'Квартальная отчетность'!$E$11:$AL$11,4)</f>
        <v>10</v>
      </c>
      <c r="I50" s="214">
        <f>SUMIFS('Квартальная отчетность'!$E$179:$AL$179,'Квартальная отчетность'!$E$9:$AL$9,Выводы!I$39,'Квартальная отчетность'!$E$11:$AL$11,4)</f>
        <v>10</v>
      </c>
      <c r="J50" s="214">
        <f>SUMIFS('Квартальная отчетность'!$E$179:$AL$179,'Квартальная отчетность'!$E$9:$AL$9,Выводы!J$39,'Квартальная отчетность'!$E$11:$AL$11,4)</f>
        <v>10</v>
      </c>
      <c r="K50" s="214">
        <f>SUMIFS('Квартальная отчетность'!$E$179:$AL$179,'Квартальная отчетность'!$E$9:$AL$9,Выводы!K$39,'Квартальная отчетность'!$E$11:$AL$11,4)</f>
        <v>10</v>
      </c>
      <c r="L50" s="78"/>
      <c r="M50" s="78"/>
    </row>
    <row r="51" spans="2:13" ht="15" customHeight="1">
      <c r="B51" s="79" t="s">
        <v>204</v>
      </c>
      <c r="C51" s="84" t="str">
        <f t="shared" si="17"/>
        <v>тыс. руб.</v>
      </c>
      <c r="D51" s="94"/>
      <c r="E51" s="94"/>
      <c r="F51" s="214">
        <f>SUMIFS('Квартальная отчетность'!$E$184:$AL$184,'Квартальная отчетность'!$E$9:$AL$9,Выводы!F$39,'Квартальная отчетность'!$E$11:$AL$11,4)</f>
        <v>25718</v>
      </c>
      <c r="G51" s="214">
        <f>SUMIFS('Квартальная отчетность'!$E$184:$AL$184,'Квартальная отчетность'!$E$9:$AL$9,Выводы!G$39,'Квартальная отчетность'!$E$11:$AL$11,4)</f>
        <v>35813.399999999994</v>
      </c>
      <c r="H51" s="214">
        <f>SUMIFS('Квартальная отчетность'!$E$184:$AL$184,'Квартальная отчетность'!$E$9:$AL$9,Выводы!H$39,'Квартальная отчетность'!$E$11:$AL$11,4)</f>
        <v>54103.920000000013</v>
      </c>
      <c r="I51" s="214">
        <f>SUMIFS('Квартальная отчетность'!$E$184:$AL$184,'Квартальная отчетность'!$E$9:$AL$9,Выводы!I$39,'Квартальная отчетность'!$E$11:$AL$11,4)</f>
        <v>76427.940000000031</v>
      </c>
      <c r="J51" s="214">
        <f>SUMIFS('Квартальная отчетность'!$E$184:$AL$184,'Квартальная отчетность'!$E$9:$AL$9,Выводы!J$39,'Квартальная отчетность'!$E$11:$AL$11,4)</f>
        <v>111165.51000000004</v>
      </c>
      <c r="K51" s="214">
        <f>SUMIFS('Квартальная отчетность'!$E$184:$AL$184,'Квартальная отчетность'!$E$9:$AL$9,Выводы!K$39,'Квартальная отчетность'!$E$11:$AL$11,4)</f>
        <v>150758.03000000006</v>
      </c>
      <c r="L51" s="78"/>
      <c r="M51" s="78"/>
    </row>
    <row r="52" spans="2:13" ht="15" customHeight="1">
      <c r="B52" s="85" t="s">
        <v>73</v>
      </c>
      <c r="C52" s="86" t="str">
        <f t="shared" si="17"/>
        <v>тыс. руб.</v>
      </c>
      <c r="D52" s="93"/>
      <c r="E52" s="93"/>
      <c r="F52" s="215">
        <f>SUMIFS('Квартальная отчетность'!$E$185:$AL$185,'Квартальная отчетность'!$E$9:$AL$9,Выводы!F$39,'Квартальная отчетность'!$E$11:$AL$11,4)</f>
        <v>25728</v>
      </c>
      <c r="G52" s="215">
        <f>SUMIFS('Квартальная отчетность'!$E$185:$AL$185,'Квартальная отчетность'!$E$9:$AL$9,Выводы!G$39,'Квартальная отчетность'!$E$11:$AL$11,4)</f>
        <v>35823.399999999994</v>
      </c>
      <c r="H52" s="215">
        <f>SUMIFS('Квартальная отчетность'!$E$185:$AL$185,'Квартальная отчетность'!$E$9:$AL$9,Выводы!H$39,'Квартальная отчетность'!$E$11:$AL$11,4)</f>
        <v>54113.920000000013</v>
      </c>
      <c r="I52" s="215">
        <f>SUMIFS('Квартальная отчетность'!$E$185:$AL$185,'Квартальная отчетность'!$E$9:$AL$9,Выводы!I$39,'Квартальная отчетность'!$E$11:$AL$11,4)</f>
        <v>76437.940000000031</v>
      </c>
      <c r="J52" s="215">
        <f>SUMIFS('Квартальная отчетность'!$E$185:$AL$185,'Квартальная отчетность'!$E$9:$AL$9,Выводы!J$39,'Квартальная отчетность'!$E$11:$AL$11,4)</f>
        <v>111175.51000000004</v>
      </c>
      <c r="K52" s="215">
        <f>SUMIFS('Квартальная отчетность'!$E$185:$AL$185,'Квартальная отчетность'!$E$9:$AL$9,Выводы!K$39,'Квартальная отчетность'!$E$11:$AL$11,4)</f>
        <v>150768.03000000006</v>
      </c>
      <c r="L52" s="95"/>
      <c r="M52" s="95"/>
    </row>
    <row r="53" spans="2:13" ht="15" customHeight="1">
      <c r="B53" s="71" t="s">
        <v>476</v>
      </c>
      <c r="C53" s="84" t="str">
        <f t="shared" si="17"/>
        <v>тыс. руб.</v>
      </c>
      <c r="D53" s="94"/>
      <c r="E53" s="94"/>
      <c r="F53" s="214">
        <f>SUMIFS('Квартальная отчетность'!$E$188:$AL$188,'Квартальная отчетность'!$E$9:$AL$9,Выводы!F$39,'Квартальная отчетность'!$E$11:$AL$11,4)</f>
        <v>30000</v>
      </c>
      <c r="G53" s="214">
        <f>SUMIFS('Квартальная отчетность'!$E$188:$AL$188,'Квартальная отчетность'!$E$9:$AL$9,Выводы!G$39,'Квартальная отчетность'!$E$11:$AL$11,4)</f>
        <v>30000</v>
      </c>
      <c r="H53" s="214">
        <f>SUMIFS('Квартальная отчетность'!$E$188:$AL$188,'Квартальная отчетность'!$E$9:$AL$9,Выводы!H$39,'Квартальная отчетность'!$E$11:$AL$11,4)</f>
        <v>30000</v>
      </c>
      <c r="I53" s="214">
        <f>SUMIFS('Квартальная отчетность'!$E$188:$AL$188,'Квартальная отчетность'!$E$9:$AL$9,Выводы!I$39,'Квартальная отчетность'!$E$11:$AL$11,4)</f>
        <v>20000</v>
      </c>
      <c r="J53" s="214">
        <f>SUMIFS('Квартальная отчетность'!$E$188:$AL$188,'Квартальная отчетность'!$E$9:$AL$9,Выводы!J$39,'Квартальная отчетность'!$E$11:$AL$11,4)</f>
        <v>10000</v>
      </c>
      <c r="K53" s="214">
        <f>SUMIFS('Квартальная отчетность'!$E$188:$AL$188,'Квартальная отчетность'!$E$9:$AL$9,Выводы!K$39,'Квартальная отчетность'!$E$11:$AL$11,4)</f>
        <v>0</v>
      </c>
      <c r="L53" s="78"/>
      <c r="M53" s="78"/>
    </row>
    <row r="54" spans="2:13" ht="15" customHeight="1">
      <c r="B54" s="71" t="s">
        <v>477</v>
      </c>
      <c r="C54" s="84"/>
      <c r="D54" s="94"/>
      <c r="E54" s="94"/>
      <c r="F54" s="214">
        <f>SUMIFS('Квартальная отчетность'!$E$189:$AL$189,'Квартальная отчетность'!$E$9:$AL$9,Выводы!F$39,'Квартальная отчетность'!$E$11:$AL$11,4)</f>
        <v>0</v>
      </c>
      <c r="G54" s="214">
        <f>SUMIFS('Квартальная отчетность'!$E$189:$AL$189,'Квартальная отчетность'!$E$9:$AL$9,Выводы!G$39,'Квартальная отчетность'!$E$11:$AL$11,4)</f>
        <v>0</v>
      </c>
      <c r="H54" s="214">
        <f>SUMIFS('Квартальная отчетность'!$E$189:$AL$189,'Квартальная отчетность'!$E$9:$AL$9,Выводы!H$39,'Квартальная отчетность'!$E$11:$AL$11,4)</f>
        <v>0</v>
      </c>
      <c r="I54" s="214">
        <f>SUMIFS('Квартальная отчетность'!$E$189:$AL$189,'Квартальная отчетность'!$E$9:$AL$9,Выводы!I$39,'Квартальная отчетность'!$E$11:$AL$11,4)</f>
        <v>0</v>
      </c>
      <c r="J54" s="214">
        <f>SUMIFS('Квартальная отчетность'!$E$189:$AL$189,'Квартальная отчетность'!$E$9:$AL$9,Выводы!J$39,'Квартальная отчетность'!$E$11:$AL$11,4)</f>
        <v>0</v>
      </c>
      <c r="K54" s="214">
        <f>SUMIFS('Квартальная отчетность'!$E$189:$AL$189,'Квартальная отчетность'!$E$9:$AL$9,Выводы!K$39,'Квартальная отчетность'!$E$11:$AL$11,4)</f>
        <v>0</v>
      </c>
      <c r="L54" s="78"/>
      <c r="M54" s="78"/>
    </row>
    <row r="55" spans="2:13" ht="15" customHeight="1">
      <c r="B55" s="85" t="s">
        <v>149</v>
      </c>
      <c r="C55" s="86" t="str">
        <f t="shared" si="17"/>
        <v>тыс. руб.</v>
      </c>
      <c r="D55" s="93"/>
      <c r="E55" s="93"/>
      <c r="F55" s="215">
        <f>SUMIFS('Квартальная отчетность'!$E$193:$AL$193,'Квартальная отчетность'!$E$9:$AL$9,Выводы!F$39,'Квартальная отчетность'!$E$11:$AL$11,4)</f>
        <v>30000</v>
      </c>
      <c r="G55" s="215">
        <f>SUMIFS('Квартальная отчетность'!$E$193:$AL$193,'Квартальная отчетность'!$E$9:$AL$9,Выводы!G$39,'Квартальная отчетность'!$E$11:$AL$11,4)</f>
        <v>30000</v>
      </c>
      <c r="H55" s="215">
        <f>SUMIFS('Квартальная отчетность'!$E$193:$AL$193,'Квартальная отчетность'!$E$9:$AL$9,Выводы!H$39,'Квартальная отчетность'!$E$11:$AL$11,4)</f>
        <v>30000</v>
      </c>
      <c r="I55" s="215">
        <f>SUMIFS('Квартальная отчетность'!$E$193:$AL$193,'Квартальная отчетность'!$E$9:$AL$9,Выводы!I$39,'Квартальная отчетность'!$E$11:$AL$11,4)</f>
        <v>20000</v>
      </c>
      <c r="J55" s="215">
        <f>SUMIFS('Квартальная отчетность'!$E$193:$AL$193,'Квартальная отчетность'!$E$9:$AL$9,Выводы!J$39,'Квартальная отчетность'!$E$11:$AL$11,4)</f>
        <v>10000</v>
      </c>
      <c r="K55" s="215">
        <f>SUMIFS('Квартальная отчетность'!$E$193:$AL$193,'Квартальная отчетность'!$E$9:$AL$9,Выводы!K$39,'Квартальная отчетность'!$E$11:$AL$11,4)</f>
        <v>0</v>
      </c>
      <c r="L55" s="95"/>
      <c r="M55" s="95"/>
    </row>
    <row r="56" spans="2:13" ht="15" customHeight="1">
      <c r="B56" s="79" t="s">
        <v>477</v>
      </c>
      <c r="C56" s="84" t="str">
        <f t="shared" si="17"/>
        <v>тыс. руб.</v>
      </c>
      <c r="D56" s="94"/>
      <c r="E56" s="94"/>
      <c r="F56" s="214">
        <f>SUMIFS('Квартальная отчетность'!$E$196:$AL$196,'Квартальная отчетность'!$E$9:$AL$9,Выводы!F$39,'Квартальная отчетность'!$E$11:$AL$11,4)</f>
        <v>0</v>
      </c>
      <c r="G56" s="214">
        <f>SUMIFS('Квартальная отчетность'!$E$196:$AL$196,'Квартальная отчетность'!$E$9:$AL$9,Выводы!G$39,'Квартальная отчетность'!$E$11:$AL$11,4)</f>
        <v>0</v>
      </c>
      <c r="H56" s="214">
        <f>SUMIFS('Квартальная отчетность'!$E$196:$AL$196,'Квартальная отчетность'!$E$9:$AL$9,Выводы!H$39,'Квартальная отчетность'!$E$11:$AL$11,4)</f>
        <v>0</v>
      </c>
      <c r="I56" s="214">
        <f>SUMIFS('Квартальная отчетность'!$E$196:$AL$196,'Квартальная отчетность'!$E$9:$AL$9,Выводы!I$39,'Квартальная отчетность'!$E$11:$AL$11,4)</f>
        <v>0</v>
      </c>
      <c r="J56" s="214">
        <f>SUMIFS('Квартальная отчетность'!$E$196:$AL$196,'Квартальная отчетность'!$E$9:$AL$9,Выводы!J$39,'Квартальная отчетность'!$E$11:$AL$11,4)</f>
        <v>0</v>
      </c>
      <c r="K56" s="214">
        <f>SUMIFS('Квартальная отчетность'!$E$196:$AL$196,'Квартальная отчетность'!$E$9:$AL$9,Выводы!K$39,'Квартальная отчетность'!$E$11:$AL$11,4)</f>
        <v>0</v>
      </c>
      <c r="L56" s="78"/>
      <c r="M56" s="78"/>
    </row>
    <row r="57" spans="2:13" ht="15" customHeight="1">
      <c r="B57" s="79" t="s">
        <v>77</v>
      </c>
      <c r="C57" s="84" t="str">
        <f t="shared" si="17"/>
        <v>тыс. руб.</v>
      </c>
      <c r="D57" s="94"/>
      <c r="E57" s="94"/>
      <c r="F57" s="214">
        <f>SUMIFS('Квартальная отчетность'!$E$197:$AL$197,'Квартальная отчетность'!$E$9:$AL$9,Выводы!F$39,'Квартальная отчетность'!$E$11:$AL$11,4)</f>
        <v>0</v>
      </c>
      <c r="G57" s="214">
        <f>SUMIFS('Квартальная отчетность'!$E$197:$AL$197,'Квартальная отчетность'!$E$9:$AL$9,Выводы!G$39,'Квартальная отчетность'!$E$11:$AL$11,4)</f>
        <v>0</v>
      </c>
      <c r="H57" s="214">
        <f>SUMIFS('Квартальная отчетность'!$E$197:$AL$197,'Квартальная отчетность'!$E$9:$AL$9,Выводы!H$39,'Квартальная отчетность'!$E$11:$AL$11,4)</f>
        <v>0</v>
      </c>
      <c r="I57" s="214">
        <f>SUMIFS('Квартальная отчетность'!$E$197:$AL$197,'Квартальная отчетность'!$E$9:$AL$9,Выводы!I$39,'Квартальная отчетность'!$E$11:$AL$11,4)</f>
        <v>0</v>
      </c>
      <c r="J57" s="214">
        <f>SUMIFS('Квартальная отчетность'!$E$197:$AL$197,'Квартальная отчетность'!$E$9:$AL$9,Выводы!J$39,'Квартальная отчетность'!$E$11:$AL$11,4)</f>
        <v>0</v>
      </c>
      <c r="K57" s="214">
        <f>SUMIFS('Квартальная отчетность'!$E$197:$AL$197,'Квартальная отчетность'!$E$9:$AL$9,Выводы!K$39,'Квартальная отчетность'!$E$11:$AL$11,4)</f>
        <v>0</v>
      </c>
      <c r="L57" s="78"/>
      <c r="M57" s="78"/>
    </row>
    <row r="58" spans="2:13" ht="15" customHeight="1">
      <c r="B58" s="85" t="s">
        <v>114</v>
      </c>
      <c r="C58" s="86" t="str">
        <f t="shared" si="17"/>
        <v>тыс. руб.</v>
      </c>
      <c r="D58" s="93"/>
      <c r="E58" s="93"/>
      <c r="F58" s="215">
        <f>SUMIFS('Квартальная отчетность'!$E$201:$AL$201,'Квартальная отчетность'!$E$9:$AL$9,Выводы!F$39,'Квартальная отчетность'!$E$11:$AL$11,4)</f>
        <v>0</v>
      </c>
      <c r="G58" s="215">
        <f>SUMIFS('Квартальная отчетность'!$E$201:$AL$201,'Квартальная отчетность'!$E$9:$AL$9,Выводы!G$39,'Квартальная отчетность'!$E$11:$AL$11,4)</f>
        <v>0</v>
      </c>
      <c r="H58" s="215">
        <f>SUMIFS('Квартальная отчетность'!$E$201:$AL$201,'Квартальная отчетность'!$E$9:$AL$9,Выводы!H$39,'Квартальная отчетность'!$E$11:$AL$11,4)</f>
        <v>0</v>
      </c>
      <c r="I58" s="215">
        <f>SUMIFS('Квартальная отчетность'!$E$201:$AL$201,'Квартальная отчетность'!$E$9:$AL$9,Выводы!I$39,'Квартальная отчетность'!$E$11:$AL$11,4)</f>
        <v>0</v>
      </c>
      <c r="J58" s="215">
        <f>SUMIFS('Квартальная отчетность'!$E$201:$AL$201,'Квартальная отчетность'!$E$9:$AL$9,Выводы!J$39,'Квартальная отчетность'!$E$11:$AL$11,4)</f>
        <v>0</v>
      </c>
      <c r="K58" s="215">
        <f>SUMIFS('Квартальная отчетность'!$E$201:$AL$201,'Квартальная отчетность'!$E$9:$AL$9,Выводы!K$39,'Квартальная отчетность'!$E$11:$AL$11,4)</f>
        <v>0</v>
      </c>
      <c r="L58" s="95"/>
      <c r="M58" s="95"/>
    </row>
    <row r="59" spans="2:13" ht="15" customHeight="1">
      <c r="B59" s="88" t="s">
        <v>78</v>
      </c>
      <c r="C59" s="89" t="str">
        <f t="shared" si="17"/>
        <v>тыс. руб.</v>
      </c>
      <c r="D59" s="96"/>
      <c r="E59" s="96"/>
      <c r="F59" s="216">
        <f>SUM(F52,F55,F58)</f>
        <v>55728</v>
      </c>
      <c r="G59" s="216">
        <f t="shared" ref="G59:K59" si="18">SUM(G52,G55,G58)</f>
        <v>65823.399999999994</v>
      </c>
      <c r="H59" s="216">
        <f t="shared" si="18"/>
        <v>84113.920000000013</v>
      </c>
      <c r="I59" s="216">
        <f t="shared" si="18"/>
        <v>96437.940000000031</v>
      </c>
      <c r="J59" s="216">
        <f t="shared" si="18"/>
        <v>121175.51000000004</v>
      </c>
      <c r="K59" s="216">
        <f t="shared" si="18"/>
        <v>150768.03000000006</v>
      </c>
      <c r="L59" s="90"/>
      <c r="M59" s="90"/>
    </row>
    <row r="60" spans="2:13" ht="15" customHeight="1">
      <c r="B60" s="25"/>
      <c r="C60" s="25"/>
      <c r="D60" s="25"/>
      <c r="E60" s="25"/>
      <c r="F60" s="25"/>
      <c r="G60" s="25"/>
      <c r="H60" s="25"/>
      <c r="I60" s="25"/>
      <c r="J60" s="25"/>
      <c r="K60" s="25"/>
      <c r="L60" s="25"/>
      <c r="M60" s="25"/>
    </row>
    <row r="61" spans="2:13" ht="21">
      <c r="B61" s="26" t="s">
        <v>197</v>
      </c>
      <c r="C61" s="25"/>
      <c r="D61" s="25"/>
      <c r="E61" s="25"/>
      <c r="F61" s="25"/>
      <c r="G61" s="25"/>
      <c r="H61" s="25"/>
      <c r="I61" s="25"/>
      <c r="J61" s="25"/>
      <c r="K61" s="25"/>
      <c r="L61" s="25"/>
      <c r="M61" s="25"/>
    </row>
    <row r="62" spans="2:13" ht="15" customHeight="1">
      <c r="B62" s="72" t="s">
        <v>423</v>
      </c>
      <c r="C62" s="25"/>
      <c r="D62" s="25"/>
      <c r="E62" s="25"/>
      <c r="F62" s="25"/>
      <c r="G62" s="25"/>
      <c r="H62" s="25"/>
      <c r="I62" s="25"/>
      <c r="J62" s="25"/>
      <c r="K62" s="25"/>
      <c r="L62" s="25"/>
      <c r="M62" s="25"/>
    </row>
    <row r="63" spans="2:13" ht="15" customHeight="1">
      <c r="B63" s="107" t="s">
        <v>188</v>
      </c>
      <c r="C63" s="107" t="s">
        <v>12</v>
      </c>
      <c r="D63" s="110"/>
      <c r="E63" s="111"/>
      <c r="F63" s="107">
        <f>F49</f>
        <v>2021</v>
      </c>
      <c r="G63" s="107">
        <f t="shared" ref="G63:M63" si="19">G49</f>
        <v>2022</v>
      </c>
      <c r="H63" s="107">
        <f t="shared" si="19"/>
        <v>2023</v>
      </c>
      <c r="I63" s="107">
        <f t="shared" si="19"/>
        <v>2024</v>
      </c>
      <c r="J63" s="107">
        <f t="shared" si="19"/>
        <v>2025</v>
      </c>
      <c r="K63" s="107">
        <f t="shared" si="19"/>
        <v>2026</v>
      </c>
      <c r="L63" s="107">
        <f t="shared" si="19"/>
        <v>2027</v>
      </c>
      <c r="M63" s="107">
        <f t="shared" si="19"/>
        <v>2028</v>
      </c>
    </row>
    <row r="64" spans="2:13" ht="15" customHeight="1">
      <c r="B64" s="97" t="s">
        <v>112</v>
      </c>
      <c r="C64" s="75" t="str">
        <f>Единица_измерения</f>
        <v>тыс. руб.</v>
      </c>
      <c r="D64" s="98"/>
      <c r="E64" s="98"/>
      <c r="F64" s="78">
        <f>SUM(F53,F54,F56)</f>
        <v>30000</v>
      </c>
      <c r="G64" s="78">
        <f t="shared" ref="G64:K64" si="20">SUM(G53,G54,G56)</f>
        <v>30000</v>
      </c>
      <c r="H64" s="78">
        <f t="shared" si="20"/>
        <v>30000</v>
      </c>
      <c r="I64" s="78">
        <f t="shared" si="20"/>
        <v>20000</v>
      </c>
      <c r="J64" s="78">
        <f t="shared" si="20"/>
        <v>10000</v>
      </c>
      <c r="K64" s="78">
        <f t="shared" si="20"/>
        <v>0</v>
      </c>
      <c r="L64" s="78"/>
      <c r="M64" s="78"/>
    </row>
    <row r="65" spans="2:13" ht="15" customHeight="1">
      <c r="B65" s="99" t="s">
        <v>205</v>
      </c>
      <c r="C65" s="84" t="str">
        <f>Единица_измерения</f>
        <v>тыс. руб.</v>
      </c>
      <c r="D65" s="100"/>
      <c r="E65" s="100"/>
      <c r="F65" s="81">
        <f>F64-F43</f>
        <v>-9919.5999999999985</v>
      </c>
      <c r="G65" s="81">
        <f t="shared" ref="G65:K65" si="21">G64-G43</f>
        <v>25416.1</v>
      </c>
      <c r="H65" s="81">
        <f t="shared" si="21"/>
        <v>23240.1</v>
      </c>
      <c r="I65" s="81">
        <f t="shared" si="21"/>
        <v>11064.1</v>
      </c>
      <c r="J65" s="81">
        <f t="shared" si="21"/>
        <v>-1111.8999999999996</v>
      </c>
      <c r="K65" s="81">
        <f t="shared" si="21"/>
        <v>-13287.9</v>
      </c>
      <c r="L65" s="81"/>
      <c r="M65" s="81"/>
    </row>
    <row r="66" spans="2:13" ht="15" customHeight="1">
      <c r="B66" s="99" t="s">
        <v>111</v>
      </c>
      <c r="C66" s="84" t="s">
        <v>116</v>
      </c>
      <c r="D66" s="100"/>
      <c r="E66" s="100"/>
      <c r="F66" s="101">
        <f t="shared" ref="F66:K66" si="22">F64/F22</f>
        <v>1.8298261665141811</v>
      </c>
      <c r="G66" s="101">
        <f t="shared" si="22"/>
        <v>1.6645951704545461</v>
      </c>
      <c r="H66" s="101">
        <f t="shared" si="22"/>
        <v>0.94584948634067212</v>
      </c>
      <c r="I66" s="101">
        <f t="shared" si="22"/>
        <v>0.56025516261125963</v>
      </c>
      <c r="J66" s="101">
        <f t="shared" si="22"/>
        <v>0.20324554683925733</v>
      </c>
      <c r="K66" s="101">
        <f t="shared" si="22"/>
        <v>0</v>
      </c>
      <c r="L66" s="101"/>
      <c r="M66" s="101"/>
    </row>
    <row r="67" spans="2:13" ht="15" customHeight="1">
      <c r="B67" s="99" t="s">
        <v>113</v>
      </c>
      <c r="C67" s="84" t="s">
        <v>116</v>
      </c>
      <c r="D67" s="100"/>
      <c r="E67" s="100"/>
      <c r="F67" s="101">
        <f t="shared" ref="F67:K67" si="23">F65/F22</f>
        <v>-0.60503812137846891</v>
      </c>
      <c r="G67" s="101">
        <f t="shared" si="23"/>
        <v>1.4102505770596594</v>
      </c>
      <c r="H67" s="101">
        <f t="shared" si="23"/>
        <v>0.73272122158352848</v>
      </c>
      <c r="I67" s="101">
        <f t="shared" si="23"/>
        <v>0.30993595723236189</v>
      </c>
      <c r="J67" s="101">
        <f t="shared" si="23"/>
        <v>-2.2598872353057017E-2</v>
      </c>
      <c r="K67" s="101">
        <f t="shared" si="23"/>
        <v>-0.24650808503628258</v>
      </c>
      <c r="L67" s="101"/>
      <c r="M67" s="101"/>
    </row>
    <row r="68" spans="2:13" ht="15" customHeight="1">
      <c r="B68" s="99" t="s">
        <v>234</v>
      </c>
      <c r="C68" s="84" t="s">
        <v>116</v>
      </c>
      <c r="D68" s="100"/>
      <c r="E68" s="100"/>
      <c r="F68" s="101">
        <f>IFERROR(-F24/F26,"-")</f>
        <v>680.304347826087</v>
      </c>
      <c r="G68" s="101">
        <f t="shared" ref="G68:K68" si="24">IFERROR(-G24/G26,"-")</f>
        <v>36.64390243902438</v>
      </c>
      <c r="H68" s="101">
        <f t="shared" si="24"/>
        <v>56.987849223946796</v>
      </c>
      <c r="I68" s="101">
        <f t="shared" si="24"/>
        <v>74.577939698492472</v>
      </c>
      <c r="J68" s="101">
        <f t="shared" si="24"/>
        <v>174.13536290322583</v>
      </c>
      <c r="K68" s="101">
        <f t="shared" si="24"/>
        <v>498.83875000000018</v>
      </c>
      <c r="L68" s="101"/>
      <c r="M68" s="101"/>
    </row>
    <row r="69" spans="2:13" ht="15" customHeight="1"/>
    <row r="70" spans="2:13" ht="15" hidden="1" customHeight="1"/>
    <row r="71" spans="2:13" ht="15" hidden="1" customHeight="1"/>
    <row r="72" spans="2:13" ht="15" hidden="1" customHeight="1"/>
    <row r="73" spans="2:13" ht="15" hidden="1" customHeight="1"/>
    <row r="74" spans="2:13" ht="15" hidden="1" customHeight="1"/>
    <row r="75" spans="2:13" ht="15" hidden="1" customHeight="1"/>
    <row r="76" spans="2:13" ht="15" hidden="1" customHeight="1"/>
    <row r="77" spans="2:13" ht="15" hidden="1" customHeight="1"/>
    <row r="78" spans="2:13" ht="15" hidden="1" customHeight="1"/>
    <row r="79" spans="2:13" ht="15" hidden="1" customHeight="1"/>
    <row r="80" spans="2:13" ht="15" hidden="1" customHeight="1"/>
    <row r="81" ht="15" hidden="1" customHeight="1"/>
    <row r="82" ht="15" hidden="1" customHeight="1"/>
    <row r="83" ht="15" hidden="1" customHeight="1"/>
    <row r="84" ht="15" hidden="1" customHeight="1"/>
    <row r="85" ht="15" hidden="1" customHeight="1"/>
    <row r="86" ht="15" hidden="1" customHeight="1"/>
    <row r="87" ht="15" hidden="1" customHeight="1"/>
    <row r="88" ht="15" hidden="1" customHeight="1"/>
    <row r="89" ht="15" hidden="1" customHeight="1"/>
    <row r="90" ht="15" hidden="1" customHeight="1"/>
    <row r="91" ht="15" hidden="1" customHeight="1"/>
    <row r="92" ht="15" hidden="1" customHeight="1"/>
    <row r="93" ht="15" hidden="1" customHeight="1"/>
    <row r="94" ht="15" hidden="1" customHeight="1"/>
    <row r="95" ht="15" hidden="1" customHeight="1"/>
    <row r="96" ht="15" hidden="1" customHeight="1"/>
    <row r="97" ht="15" hidden="1" customHeight="1"/>
    <row r="98" ht="15" hidden="1" customHeight="1"/>
    <row r="99" ht="15" hidden="1" customHeight="1"/>
    <row r="100" ht="15" hidden="1" customHeight="1"/>
    <row r="101" ht="15" hidden="1" customHeight="1"/>
    <row r="102" ht="15" hidden="1" customHeight="1"/>
    <row r="103" ht="15" hidden="1" customHeight="1"/>
    <row r="104" ht="15" hidden="1" customHeight="1"/>
    <row r="105" ht="15" hidden="1" customHeight="1"/>
    <row r="106" ht="15" hidden="1" customHeight="1"/>
    <row r="107" ht="15" hidden="1" customHeight="1"/>
    <row r="108" ht="15" hidden="1" customHeight="1"/>
    <row r="109" ht="15" hidden="1" customHeight="1"/>
    <row r="110" ht="15" hidden="1" customHeight="1"/>
    <row r="111" ht="15" hidden="1" customHeight="1"/>
    <row r="112" ht="15" hidden="1" customHeight="1"/>
    <row r="113" ht="15" hidden="1" customHeight="1"/>
    <row r="114" ht="15" hidden="1" customHeight="1"/>
    <row r="115" ht="15" hidden="1" customHeight="1"/>
    <row r="116" ht="15" hidden="1" customHeight="1"/>
    <row r="117" ht="15" hidden="1" customHeight="1"/>
    <row r="118" ht="15" hidden="1" customHeight="1"/>
    <row r="119" ht="15" hidden="1" customHeight="1"/>
    <row r="120" ht="15" hidden="1" customHeight="1"/>
    <row r="121" ht="15" hidden="1" customHeight="1"/>
    <row r="122" ht="15" hidden="1" customHeight="1"/>
    <row r="123" ht="15" hidden="1" customHeight="1"/>
    <row r="124" ht="15" hidden="1" customHeight="1"/>
    <row r="125" ht="15" hidden="1" customHeight="1"/>
    <row r="126" ht="15" hidden="1" customHeight="1"/>
    <row r="127" ht="15" hidden="1" customHeight="1"/>
    <row r="128" ht="15" hidden="1" customHeight="1"/>
    <row r="129" ht="15" hidden="1" customHeight="1"/>
    <row r="130" ht="15" hidden="1" customHeight="1"/>
    <row r="131" ht="15" hidden="1" customHeight="1"/>
    <row r="132" ht="15" hidden="1" customHeight="1"/>
    <row r="133" ht="15" hidden="1" customHeight="1"/>
    <row r="134" ht="15" hidden="1" customHeight="1"/>
    <row r="135" ht="15" hidden="1" customHeight="1"/>
    <row r="136" ht="15" hidden="1" customHeight="1"/>
    <row r="137" ht="15" hidden="1" customHeight="1"/>
    <row r="138" ht="15" hidden="1" customHeight="1"/>
    <row r="139" ht="15" hidden="1" customHeight="1"/>
    <row r="140" ht="15" hidden="1" customHeight="1"/>
    <row r="141" ht="15" hidden="1" customHeight="1"/>
    <row r="142" ht="15" hidden="1" customHeight="1"/>
    <row r="143" ht="15" hidden="1" customHeight="1"/>
    <row r="144" ht="15" hidden="1" customHeight="1"/>
    <row r="145" ht="15" hidden="1" customHeight="1"/>
    <row r="146" ht="15" hidden="1" customHeight="1"/>
    <row r="147" ht="15" hidden="1" customHeight="1"/>
    <row r="148" ht="15" hidden="1" customHeight="1"/>
    <row r="149" ht="15" hidden="1" customHeight="1"/>
    <row r="150" ht="15" hidden="1" customHeight="1"/>
    <row r="151" ht="15" hidden="1" customHeight="1"/>
    <row r="152" ht="15" hidden="1" customHeight="1"/>
    <row r="153" ht="15" hidden="1" customHeight="1"/>
    <row r="154" ht="15" hidden="1" customHeight="1"/>
    <row r="155" ht="15" hidden="1" customHeight="1"/>
    <row r="156" ht="15" hidden="1" customHeight="1"/>
    <row r="157" ht="15" hidden="1" customHeight="1"/>
    <row r="158" ht="15" hidden="1" customHeight="1"/>
    <row r="159" ht="15" hidden="1" customHeight="1"/>
    <row r="160" ht="15" hidden="1" customHeight="1"/>
    <row r="161" ht="15" hidden="1" customHeight="1"/>
    <row r="162" ht="15" hidden="1" customHeight="1"/>
    <row r="163" ht="15" hidden="1" customHeight="1"/>
    <row r="164" ht="15" hidden="1" customHeight="1"/>
    <row r="165" ht="15" hidden="1" customHeight="1"/>
    <row r="166" ht="15" hidden="1" customHeight="1"/>
    <row r="167" ht="15" hidden="1" customHeight="1"/>
    <row r="168" ht="15" hidden="1" customHeight="1"/>
    <row r="169" ht="15" hidden="1" customHeight="1"/>
    <row r="170" ht="15" hidden="1" customHeight="1"/>
    <row r="171" ht="15" hidden="1" customHeight="1"/>
    <row r="172" ht="15" hidden="1" customHeight="1"/>
    <row r="173" ht="15" hidden="1" customHeight="1"/>
    <row r="174" ht="15" hidden="1" customHeight="1"/>
    <row r="175" ht="15" hidden="1" customHeight="1"/>
    <row r="176" ht="15" hidden="1" customHeight="1"/>
    <row r="177" ht="15" hidden="1" customHeight="1"/>
    <row r="178" ht="15" hidden="1" customHeight="1"/>
    <row r="179" ht="15" hidden="1" customHeight="1"/>
    <row r="180" ht="15" hidden="1" customHeight="1"/>
    <row r="181" ht="15" hidden="1" customHeight="1"/>
    <row r="182" ht="15" hidden="1" customHeight="1"/>
    <row r="183" ht="15" hidden="1" customHeight="1"/>
    <row r="184" ht="15" hidden="1" customHeight="1"/>
    <row r="185" ht="15" hidden="1" customHeight="1"/>
    <row r="186" ht="15" hidden="1" customHeight="1"/>
    <row r="187" ht="15" hidden="1" customHeight="1"/>
    <row r="188" ht="15" hidden="1" customHeight="1"/>
    <row r="189" ht="15" hidden="1" customHeight="1"/>
    <row r="190" ht="15" hidden="1" customHeight="1"/>
    <row r="191" ht="15" hidden="1" customHeight="1"/>
    <row r="192" ht="15" hidden="1" customHeight="1"/>
    <row r="193" ht="15" hidden="1" customHeight="1"/>
    <row r="194" ht="15" hidden="1" customHeight="1"/>
    <row r="195" ht="15" hidden="1" customHeight="1"/>
    <row r="196" ht="15" hidden="1" customHeight="1"/>
    <row r="197" ht="15" hidden="1" customHeight="1"/>
    <row r="198" ht="15" hidden="1" customHeight="1"/>
    <row r="199" ht="15" hidden="1" customHeight="1"/>
    <row r="200" ht="15" hidden="1" customHeight="1"/>
    <row r="201" ht="15" hidden="1" customHeight="1"/>
    <row r="202" ht="15" hidden="1" customHeight="1"/>
    <row r="203" ht="15" hidden="1" customHeight="1"/>
    <row r="204" ht="15" hidden="1" customHeight="1"/>
    <row r="205" ht="15" hidden="1" customHeight="1"/>
    <row r="206" ht="15" hidden="1" customHeight="1"/>
    <row r="207" ht="15" hidden="1" customHeight="1"/>
    <row r="208" ht="15" hidden="1" customHeight="1"/>
    <row r="209" ht="15" hidden="1" customHeight="1"/>
    <row r="210" ht="15" hidden="1" customHeight="1"/>
    <row r="211" ht="15" hidden="1" customHeight="1"/>
    <row r="212" ht="15" hidden="1" customHeight="1"/>
    <row r="213" ht="15" hidden="1" customHeight="1"/>
    <row r="214" ht="15" hidden="1" customHeight="1"/>
    <row r="215" ht="15" hidden="1" customHeight="1"/>
    <row r="216" ht="15" hidden="1" customHeight="1"/>
    <row r="217" ht="15" hidden="1" customHeight="1"/>
    <row r="218" ht="15" hidden="1" customHeight="1"/>
    <row r="219" ht="15" hidden="1" customHeight="1"/>
    <row r="220" ht="15" hidden="1" customHeight="1"/>
    <row r="221" ht="15" hidden="1" customHeight="1"/>
    <row r="222" ht="15" hidden="1" customHeight="1"/>
    <row r="223" ht="15" hidden="1" customHeight="1"/>
    <row r="224" ht="15" hidden="1" customHeight="1"/>
    <row r="225" ht="15" hidden="1" customHeight="1"/>
    <row r="226" ht="15" hidden="1" customHeight="1"/>
    <row r="227" ht="15" hidden="1" customHeight="1"/>
    <row r="228" ht="15" hidden="1" customHeight="1"/>
    <row r="229" ht="15" hidden="1" customHeight="1"/>
    <row r="230" ht="15" hidden="1" customHeight="1"/>
    <row r="231" ht="15" hidden="1" customHeight="1"/>
    <row r="232" ht="15" hidden="1" customHeight="1"/>
    <row r="233" ht="15" hidden="1" customHeight="1"/>
    <row r="234" ht="15" hidden="1" customHeight="1"/>
    <row r="235" ht="15" hidden="1" customHeight="1"/>
    <row r="236" ht="15" hidden="1" customHeight="1"/>
    <row r="237" ht="15" hidden="1" customHeight="1"/>
    <row r="238" ht="15" hidden="1" customHeight="1"/>
    <row r="239" ht="15" hidden="1" customHeight="1"/>
    <row r="240" ht="15" hidden="1" customHeight="1"/>
    <row r="241" ht="15" hidden="1" customHeight="1"/>
    <row r="242" ht="15" hidden="1" customHeight="1"/>
    <row r="243" ht="15" hidden="1" customHeight="1"/>
    <row r="244" ht="15" hidden="1" customHeight="1"/>
    <row r="245" ht="15" hidden="1" customHeight="1"/>
    <row r="246" ht="15" hidden="1" customHeight="1"/>
    <row r="247" ht="15" hidden="1" customHeight="1"/>
    <row r="248" ht="15" hidden="1" customHeight="1"/>
    <row r="249" ht="15" hidden="1" customHeight="1"/>
    <row r="250" ht="15" hidden="1" customHeight="1"/>
    <row r="251" ht="15" hidden="1" customHeight="1"/>
    <row r="252" ht="15" hidden="1" customHeight="1"/>
    <row r="253" ht="15" hidden="1" customHeight="1"/>
    <row r="254" ht="15" hidden="1" customHeight="1"/>
    <row r="255" ht="15" hidden="1" customHeight="1"/>
    <row r="256" ht="15" hidden="1" customHeight="1"/>
    <row r="257" ht="15" hidden="1" customHeight="1"/>
    <row r="258" ht="15" hidden="1" customHeight="1"/>
    <row r="259" ht="15" hidden="1" customHeight="1"/>
    <row r="260" ht="15" hidden="1" customHeight="1"/>
    <row r="261" ht="15" hidden="1" customHeight="1"/>
    <row r="262" ht="15" hidden="1" customHeight="1"/>
    <row r="263" ht="15" hidden="1" customHeight="1"/>
    <row r="264" ht="15" hidden="1" customHeight="1"/>
    <row r="265" ht="15" hidden="1" customHeight="1"/>
    <row r="266" ht="15" hidden="1" customHeight="1"/>
    <row r="267" ht="15" hidden="1" customHeight="1"/>
    <row r="268" ht="15" hidden="1" customHeight="1"/>
    <row r="269" ht="15" hidden="1" customHeight="1"/>
    <row r="270" ht="15" hidden="1" customHeight="1"/>
    <row r="271" ht="15" hidden="1" customHeight="1"/>
    <row r="272" ht="15" hidden="1" customHeight="1"/>
    <row r="273" ht="15" hidden="1" customHeight="1"/>
    <row r="274" ht="15" hidden="1" customHeight="1"/>
    <row r="275" ht="15" hidden="1" customHeight="1"/>
    <row r="276" ht="15" hidden="1" customHeight="1"/>
    <row r="277" ht="15" hidden="1" customHeight="1"/>
    <row r="278" ht="15" hidden="1" customHeight="1"/>
    <row r="279" ht="15" hidden="1" customHeight="1"/>
    <row r="280" ht="15" hidden="1" customHeight="1"/>
    <row r="281" ht="15" hidden="1" customHeight="1"/>
    <row r="282" ht="15" hidden="1" customHeight="1"/>
    <row r="283" ht="15" hidden="1" customHeight="1"/>
    <row r="284" ht="15" hidden="1" customHeight="1"/>
    <row r="285" ht="15" hidden="1" customHeight="1"/>
    <row r="286" ht="15" hidden="1" customHeight="1"/>
    <row r="287" ht="15" hidden="1" customHeight="1"/>
    <row r="288" ht="15" hidden="1" customHeight="1"/>
    <row r="289" ht="15" hidden="1" customHeight="1"/>
    <row r="290" ht="15" hidden="1" customHeight="1"/>
    <row r="291" ht="15" hidden="1" customHeight="1"/>
    <row r="292" ht="15" hidden="1" customHeight="1"/>
    <row r="293" ht="15" hidden="1" customHeight="1"/>
    <row r="294" ht="15" hidden="1" customHeight="1"/>
    <row r="295" ht="15" hidden="1" customHeight="1"/>
    <row r="296" ht="15" hidden="1" customHeight="1"/>
    <row r="297" ht="15" hidden="1" customHeight="1"/>
    <row r="298" ht="15" hidden="1" customHeight="1"/>
    <row r="299" ht="15" hidden="1" customHeight="1"/>
    <row r="300" ht="15" hidden="1" customHeight="1"/>
    <row r="301" ht="15" hidden="1" customHeight="1"/>
    <row r="302" ht="15" hidden="1" customHeight="1"/>
    <row r="303" ht="15" hidden="1" customHeight="1"/>
    <row r="304" ht="15" hidden="1" customHeight="1"/>
    <row r="305" ht="15" hidden="1" customHeight="1"/>
    <row r="306" ht="15" hidden="1" customHeight="1"/>
    <row r="307" ht="15" hidden="1" customHeight="1"/>
    <row r="308" ht="15" hidden="1" customHeight="1"/>
    <row r="309" ht="15" hidden="1" customHeight="1"/>
    <row r="310" ht="15" hidden="1" customHeight="1"/>
    <row r="311" ht="15" hidden="1" customHeight="1"/>
    <row r="312" ht="15" hidden="1" customHeight="1"/>
    <row r="313" ht="15" hidden="1" customHeight="1"/>
    <row r="314" ht="15" hidden="1" customHeight="1"/>
    <row r="315" ht="15" hidden="1" customHeight="1"/>
    <row r="316" ht="15" hidden="1" customHeight="1"/>
    <row r="317" ht="15" hidden="1" customHeight="1"/>
    <row r="318" ht="15" hidden="1" customHeight="1"/>
    <row r="319" ht="15" hidden="1" customHeight="1"/>
    <row r="320" ht="15" hidden="1" customHeight="1"/>
    <row r="321" ht="15" hidden="1" customHeight="1"/>
    <row r="322" ht="15" hidden="1" customHeight="1"/>
    <row r="323" ht="15" hidden="1" customHeight="1"/>
    <row r="324" ht="15" hidden="1" customHeight="1"/>
    <row r="325" ht="15" hidden="1" customHeight="1"/>
    <row r="326" ht="15" hidden="1" customHeight="1"/>
    <row r="327" ht="15" hidden="1" customHeight="1"/>
    <row r="328" ht="15" hidden="1" customHeight="1"/>
    <row r="329" ht="15" hidden="1" customHeight="1"/>
    <row r="330" ht="15" hidden="1" customHeight="1"/>
    <row r="331" ht="15" hidden="1" customHeight="1"/>
    <row r="332" ht="15" hidden="1" customHeight="1"/>
    <row r="333" ht="15" hidden="1" customHeight="1"/>
    <row r="334" ht="15" hidden="1" customHeight="1"/>
    <row r="335" ht="15" hidden="1" customHeight="1"/>
    <row r="336" ht="15" hidden="1" customHeight="1"/>
    <row r="337" ht="15" hidden="1" customHeight="1"/>
    <row r="338" ht="15" hidden="1" customHeight="1"/>
    <row r="339" ht="15" hidden="1" customHeight="1"/>
    <row r="340" ht="15" hidden="1" customHeight="1"/>
    <row r="341" ht="15" hidden="1" customHeight="1"/>
    <row r="342" ht="15" hidden="1" customHeight="1"/>
    <row r="343" ht="15" hidden="1" customHeight="1"/>
    <row r="344" ht="15" hidden="1" customHeight="1"/>
    <row r="345" ht="15" hidden="1" customHeight="1"/>
    <row r="346" ht="15" hidden="1" customHeight="1"/>
    <row r="347" ht="15" hidden="1" customHeight="1"/>
    <row r="348" ht="15" hidden="1" customHeight="1"/>
    <row r="349" ht="15" hidden="1" customHeight="1"/>
    <row r="350" ht="15" hidden="1" customHeight="1"/>
    <row r="351" ht="15" hidden="1" customHeight="1"/>
    <row r="352" ht="15" hidden="1" customHeight="1"/>
    <row r="353" ht="15" hidden="1" customHeight="1"/>
    <row r="354" ht="15" hidden="1" customHeight="1"/>
    <row r="355" ht="15" hidden="1" customHeight="1"/>
    <row r="356" ht="15" hidden="1" customHeight="1"/>
    <row r="357" ht="15" hidden="1" customHeight="1"/>
    <row r="358" ht="15" hidden="1" customHeight="1"/>
    <row r="359" ht="15" hidden="1" customHeight="1"/>
    <row r="360" ht="15" hidden="1" customHeight="1"/>
    <row r="361" ht="15" hidden="1" customHeight="1"/>
    <row r="362" ht="15" hidden="1" customHeight="1"/>
    <row r="363" ht="15" hidden="1" customHeight="1"/>
    <row r="364" ht="15" hidden="1" customHeight="1"/>
    <row r="365" ht="15" hidden="1" customHeight="1"/>
    <row r="366" ht="15" hidden="1" customHeight="1"/>
    <row r="367" ht="15" hidden="1" customHeight="1"/>
    <row r="368" ht="15" hidden="1" customHeight="1"/>
    <row r="369" ht="15" hidden="1" customHeight="1"/>
    <row r="370" ht="15" hidden="1" customHeight="1"/>
    <row r="371" ht="15" hidden="1" customHeight="1"/>
    <row r="372" ht="15" hidden="1" customHeight="1"/>
    <row r="373" ht="15" hidden="1" customHeight="1"/>
    <row r="374" ht="15" hidden="1" customHeight="1"/>
    <row r="375" ht="15" hidden="1" customHeight="1"/>
    <row r="376" ht="15" hidden="1" customHeight="1"/>
    <row r="377" ht="15" hidden="1" customHeight="1"/>
    <row r="378" ht="15" hidden="1" customHeight="1"/>
    <row r="379" ht="15" hidden="1" customHeight="1"/>
    <row r="380" ht="15" hidden="1" customHeight="1"/>
    <row r="381" ht="15" hidden="1" customHeight="1"/>
    <row r="382" ht="15" hidden="1" customHeight="1"/>
    <row r="383" ht="15" hidden="1" customHeight="1"/>
    <row r="384" ht="15" hidden="1" customHeight="1"/>
    <row r="385" ht="15" hidden="1" customHeight="1"/>
    <row r="386" ht="15" hidden="1" customHeight="1"/>
    <row r="387" ht="15" hidden="1" customHeight="1"/>
    <row r="388" ht="15" hidden="1" customHeight="1"/>
    <row r="389" ht="15" hidden="1" customHeight="1"/>
    <row r="390" ht="15" hidden="1" customHeight="1"/>
    <row r="391" ht="15" hidden="1" customHeight="1"/>
    <row r="392" ht="15" hidden="1" customHeight="1"/>
    <row r="393" ht="15" hidden="1" customHeight="1"/>
    <row r="394" ht="15" hidden="1" customHeight="1"/>
    <row r="395" ht="15" hidden="1" customHeight="1"/>
    <row r="396" ht="15" hidden="1" customHeight="1"/>
    <row r="397" ht="15" hidden="1" customHeight="1"/>
    <row r="398" ht="15" hidden="1" customHeight="1"/>
    <row r="399" ht="15" hidden="1" customHeight="1"/>
    <row r="400" ht="15" hidden="1" customHeight="1"/>
    <row r="401" ht="15" hidden="1" customHeight="1"/>
    <row r="402" ht="15" hidden="1" customHeight="1"/>
    <row r="403" ht="15" hidden="1" customHeight="1"/>
    <row r="404" ht="15" hidden="1" customHeight="1"/>
    <row r="405" ht="15" hidden="1" customHeight="1"/>
    <row r="406" ht="15" hidden="1" customHeight="1"/>
    <row r="407" ht="15" hidden="1" customHeight="1"/>
    <row r="408" ht="15" hidden="1" customHeight="1"/>
    <row r="409" ht="15" hidden="1" customHeight="1"/>
    <row r="410" ht="15" hidden="1" customHeight="1"/>
    <row r="411" ht="15" hidden="1" customHeight="1"/>
    <row r="412" ht="15" hidden="1" customHeight="1"/>
    <row r="413" ht="15" hidden="1" customHeight="1"/>
    <row r="414" ht="15" hidden="1" customHeight="1"/>
    <row r="415" ht="15" hidden="1" customHeight="1"/>
    <row r="416" ht="15" hidden="1" customHeight="1"/>
    <row r="417" ht="15" hidden="1" customHeight="1"/>
    <row r="418" ht="15" hidden="1" customHeight="1"/>
    <row r="419" ht="15" hidden="1" customHeight="1"/>
    <row r="420" ht="15" hidden="1" customHeight="1"/>
    <row r="421" ht="15" hidden="1" customHeight="1"/>
    <row r="422" ht="15" hidden="1" customHeight="1"/>
    <row r="423" ht="15" hidden="1" customHeight="1"/>
    <row r="424" ht="15" hidden="1" customHeight="1"/>
    <row r="425" ht="15" hidden="1" customHeight="1"/>
    <row r="426" ht="15" hidden="1" customHeight="1"/>
    <row r="427" ht="15" hidden="1" customHeight="1"/>
    <row r="428" ht="15" hidden="1" customHeight="1"/>
    <row r="429" ht="15" hidden="1" customHeight="1"/>
    <row r="430" ht="15" hidden="1" customHeight="1"/>
    <row r="431" ht="15" hidden="1" customHeight="1"/>
    <row r="432" ht="15" hidden="1" customHeight="1"/>
    <row r="433" ht="15" hidden="1" customHeight="1"/>
    <row r="434" ht="15" hidden="1" customHeight="1"/>
    <row r="435" ht="15" hidden="1" customHeight="1"/>
    <row r="436" ht="15" hidden="1" customHeight="1"/>
    <row r="437" ht="15" hidden="1" customHeight="1"/>
    <row r="438" ht="15" hidden="1" customHeight="1"/>
    <row r="439" ht="15" hidden="1" customHeight="1"/>
    <row r="440" ht="15" hidden="1" customHeight="1"/>
    <row r="441" ht="15" hidden="1" customHeight="1"/>
    <row r="442" ht="15" hidden="1" customHeight="1"/>
    <row r="443" ht="15" hidden="1" customHeight="1"/>
    <row r="444" ht="15" hidden="1" customHeight="1"/>
    <row r="445" ht="15" hidden="1" customHeight="1"/>
    <row r="446" ht="15" hidden="1" customHeight="1"/>
    <row r="447" ht="15" hidden="1" customHeight="1"/>
    <row r="448" ht="15" hidden="1" customHeight="1"/>
    <row r="449" ht="15" hidden="1" customHeight="1"/>
    <row r="450" ht="15" hidden="1" customHeight="1"/>
    <row r="451" ht="15" hidden="1" customHeight="1"/>
    <row r="452" ht="15" hidden="1" customHeight="1"/>
    <row r="453" ht="15" hidden="1" customHeight="1"/>
    <row r="454" ht="15" hidden="1" customHeight="1"/>
    <row r="455" ht="15" hidden="1" customHeight="1"/>
    <row r="456" ht="15" hidden="1" customHeight="1"/>
    <row r="457" ht="15" hidden="1" customHeight="1"/>
    <row r="458" ht="15" hidden="1" customHeight="1"/>
    <row r="459" ht="15" hidden="1" customHeight="1"/>
    <row r="460" ht="15" hidden="1" customHeight="1"/>
    <row r="461" ht="15" hidden="1" customHeight="1"/>
    <row r="462" ht="15" hidden="1" customHeight="1"/>
    <row r="463" ht="15" hidden="1" customHeight="1"/>
    <row r="464" ht="15" hidden="1" customHeight="1"/>
    <row r="465" ht="15" hidden="1" customHeight="1"/>
    <row r="466" ht="15" hidden="1" customHeight="1"/>
    <row r="467" ht="15" hidden="1" customHeight="1"/>
    <row r="468" ht="15" hidden="1" customHeight="1"/>
    <row r="469" ht="15" hidden="1" customHeight="1"/>
    <row r="470" ht="15" hidden="1" customHeight="1"/>
    <row r="471" ht="15" hidden="1" customHeight="1"/>
    <row r="472" ht="15" hidden="1" customHeight="1"/>
    <row r="473" ht="15" hidden="1" customHeight="1"/>
    <row r="474" ht="15" hidden="1" customHeight="1"/>
    <row r="475" ht="15" hidden="1" customHeight="1"/>
    <row r="476" ht="15" hidden="1" customHeight="1"/>
    <row r="477" ht="15" hidden="1" customHeight="1"/>
    <row r="478" ht="15" hidden="1" customHeight="1"/>
    <row r="479" ht="15" hidden="1" customHeight="1"/>
    <row r="480" ht="15" hidden="1" customHeight="1"/>
    <row r="481" ht="15" hidden="1" customHeight="1"/>
    <row r="482" ht="15" hidden="1" customHeight="1"/>
    <row r="483" ht="15" hidden="1" customHeight="1"/>
    <row r="484" ht="15" hidden="1" customHeight="1"/>
    <row r="485" ht="15" hidden="1" customHeight="1"/>
    <row r="486" ht="15" hidden="1" customHeight="1"/>
    <row r="487" ht="15" hidden="1" customHeight="1"/>
    <row r="488" ht="15" hidden="1" customHeight="1"/>
    <row r="489" ht="15" hidden="1" customHeight="1"/>
    <row r="490" ht="15" hidden="1" customHeight="1"/>
    <row r="491" ht="15" hidden="1" customHeight="1"/>
    <row r="492" ht="15" hidden="1" customHeight="1"/>
    <row r="493" ht="15" hidden="1" customHeight="1"/>
    <row r="494" ht="15" hidden="1" customHeight="1"/>
    <row r="495" ht="15" hidden="1" customHeight="1"/>
    <row r="496" ht="15" hidden="1" customHeight="1"/>
    <row r="497" ht="15" hidden="1" customHeight="1"/>
    <row r="498" ht="15" hidden="1" customHeight="1"/>
    <row r="499" ht="15" hidden="1" customHeight="1"/>
    <row r="500" ht="15" hidden="1" customHeight="1"/>
    <row r="501" ht="15" hidden="1" customHeight="1"/>
    <row r="502" ht="15" hidden="1" customHeight="1"/>
    <row r="503" ht="15" hidden="1" customHeight="1"/>
    <row r="504" ht="15" hidden="1" customHeight="1"/>
    <row r="505" ht="15" hidden="1" customHeight="1"/>
    <row r="506" ht="15" hidden="1" customHeight="1"/>
    <row r="507" ht="15" hidden="1" customHeight="1"/>
    <row r="508" ht="15" hidden="1" customHeight="1"/>
    <row r="509" ht="15" hidden="1" customHeight="1"/>
    <row r="510" ht="15" hidden="1" customHeight="1"/>
    <row r="511" ht="15" hidden="1" customHeight="1"/>
    <row r="512" ht="15" hidden="1" customHeight="1"/>
    <row r="513" ht="15" hidden="1" customHeight="1"/>
    <row r="514" ht="15" hidden="1" customHeight="1"/>
    <row r="515" ht="15" hidden="1" customHeight="1"/>
    <row r="516" ht="15" hidden="1" customHeight="1"/>
    <row r="517" ht="15" hidden="1" customHeight="1"/>
    <row r="518" ht="15" hidden="1" customHeight="1"/>
    <row r="519" ht="15" hidden="1" customHeight="1"/>
    <row r="520" ht="15" hidden="1" customHeight="1"/>
    <row r="521" ht="15" hidden="1" customHeight="1"/>
    <row r="522" ht="15" hidden="1" customHeight="1"/>
    <row r="523" ht="15" hidden="1" customHeight="1"/>
    <row r="524" ht="15" hidden="1" customHeight="1"/>
    <row r="525" ht="15" hidden="1" customHeight="1"/>
    <row r="526" ht="15" hidden="1" customHeight="1"/>
    <row r="527" ht="15" hidden="1" customHeight="1"/>
    <row r="528" ht="15" hidden="1" customHeight="1"/>
    <row r="529" ht="15" hidden="1" customHeight="1"/>
    <row r="530" ht="15" hidden="1" customHeight="1"/>
    <row r="531" ht="15" hidden="1" customHeight="1"/>
    <row r="532" ht="15" hidden="1" customHeight="1"/>
    <row r="533" ht="15" hidden="1" customHeight="1"/>
    <row r="534" ht="15" hidden="1" customHeight="1"/>
    <row r="535" ht="15" hidden="1" customHeight="1"/>
    <row r="536" ht="15" hidden="1" customHeight="1"/>
    <row r="537" ht="15" hidden="1" customHeight="1"/>
    <row r="538" ht="15" hidden="1" customHeight="1"/>
    <row r="539" ht="15" hidden="1" customHeight="1"/>
    <row r="540" ht="15" hidden="1" customHeight="1"/>
    <row r="541" ht="15" hidden="1" customHeight="1"/>
    <row r="542" ht="15" hidden="1" customHeight="1"/>
    <row r="543" ht="15" hidden="1" customHeight="1"/>
    <row r="544" ht="15" hidden="1" customHeight="1"/>
    <row r="545" ht="15" hidden="1" customHeight="1"/>
    <row r="546" ht="15" hidden="1" customHeight="1"/>
    <row r="547" ht="15" hidden="1" customHeight="1"/>
    <row r="548" ht="15" hidden="1" customHeight="1"/>
    <row r="549" ht="15" hidden="1" customHeight="1"/>
    <row r="550" ht="15" hidden="1" customHeight="1"/>
    <row r="551" ht="15" hidden="1" customHeight="1"/>
    <row r="552" ht="15" hidden="1" customHeight="1"/>
    <row r="553" ht="15" hidden="1" customHeight="1"/>
    <row r="554" ht="15" hidden="1" customHeight="1"/>
    <row r="555" ht="15" hidden="1" customHeight="1"/>
    <row r="556" ht="15" hidden="1" customHeight="1"/>
    <row r="557" ht="15" hidden="1" customHeight="1"/>
    <row r="558" ht="15" hidden="1" customHeight="1"/>
    <row r="559" ht="15" hidden="1" customHeight="1"/>
    <row r="560" ht="15" hidden="1" customHeight="1"/>
    <row r="561" ht="15" hidden="1" customHeight="1"/>
    <row r="562" ht="15" hidden="1" customHeight="1"/>
    <row r="563" ht="15" hidden="1" customHeight="1"/>
    <row r="564" ht="15" hidden="1" customHeight="1"/>
    <row r="565" ht="15" hidden="1" customHeight="1"/>
    <row r="566" ht="15" hidden="1" customHeight="1"/>
    <row r="567" ht="15" hidden="1" customHeight="1"/>
    <row r="568" ht="15" hidden="1" customHeight="1"/>
    <row r="569" ht="15" hidden="1" customHeight="1"/>
    <row r="570" ht="15" hidden="1" customHeight="1"/>
    <row r="571" ht="15" hidden="1" customHeight="1"/>
    <row r="572" ht="15" hidden="1" customHeight="1"/>
    <row r="573" ht="15" hidden="1" customHeight="1"/>
    <row r="574" ht="15" hidden="1" customHeight="1"/>
    <row r="575" ht="15" hidden="1" customHeight="1"/>
    <row r="576" ht="15" hidden="1" customHeight="1"/>
    <row r="577" ht="15" hidden="1" customHeight="1"/>
    <row r="578" ht="15" hidden="1" customHeight="1"/>
    <row r="579" ht="15" hidden="1" customHeight="1"/>
    <row r="580" ht="15" hidden="1" customHeight="1"/>
    <row r="581" ht="15" hidden="1" customHeight="1"/>
    <row r="582" ht="15" hidden="1" customHeight="1"/>
    <row r="583" ht="15" hidden="1" customHeight="1"/>
    <row r="584" ht="15" hidden="1" customHeight="1"/>
    <row r="585" ht="15" hidden="1" customHeight="1"/>
    <row r="586" ht="15" hidden="1" customHeight="1"/>
    <row r="587" ht="15" hidden="1" customHeight="1"/>
    <row r="588" ht="15" hidden="1" customHeight="1"/>
    <row r="589" ht="15" hidden="1" customHeight="1"/>
    <row r="590" ht="15" hidden="1" customHeight="1"/>
    <row r="591" ht="15" hidden="1" customHeight="1"/>
    <row r="592" ht="15" hidden="1" customHeight="1"/>
    <row r="593" ht="15" hidden="1" customHeight="1"/>
    <row r="594" ht="15" hidden="1" customHeight="1"/>
    <row r="595" ht="15" hidden="1" customHeight="1"/>
    <row r="596" ht="15" hidden="1" customHeight="1"/>
    <row r="597" ht="15" hidden="1" customHeight="1"/>
    <row r="598" ht="15" hidden="1" customHeight="1"/>
    <row r="599" ht="15" hidden="1" customHeight="1"/>
    <row r="600" ht="15" hidden="1" customHeight="1"/>
    <row r="601" ht="15" hidden="1" customHeight="1"/>
    <row r="602" ht="15" hidden="1" customHeight="1"/>
    <row r="603" ht="15" hidden="1" customHeight="1"/>
    <row r="604" ht="15" hidden="1" customHeight="1"/>
    <row r="605" ht="15" hidden="1" customHeight="1"/>
    <row r="606" ht="15" hidden="1" customHeight="1"/>
    <row r="607" ht="15" hidden="1" customHeight="1"/>
    <row r="608" ht="15" hidden="1" customHeight="1"/>
    <row r="609" ht="15" hidden="1" customHeight="1"/>
    <row r="610" ht="15" hidden="1" customHeight="1"/>
    <row r="611" ht="15" hidden="1" customHeight="1"/>
    <row r="612" ht="15" hidden="1" customHeight="1"/>
    <row r="613" ht="15" hidden="1" customHeight="1"/>
    <row r="614" ht="15" hidden="1" customHeight="1"/>
    <row r="615" ht="15" hidden="1" customHeight="1"/>
    <row r="616" ht="15" hidden="1" customHeight="1"/>
    <row r="617" ht="15" hidden="1" customHeight="1"/>
    <row r="618" ht="15" hidden="1" customHeight="1"/>
    <row r="619" ht="15" hidden="1" customHeight="1"/>
    <row r="620" ht="15" hidden="1" customHeight="1"/>
    <row r="621" ht="15" hidden="1" customHeight="1"/>
    <row r="622" ht="15" hidden="1" customHeight="1"/>
    <row r="623" ht="15" hidden="1" customHeight="1"/>
    <row r="624" ht="15" hidden="1" customHeight="1"/>
    <row r="625" ht="15" hidden="1" customHeight="1"/>
    <row r="626" ht="15" hidden="1" customHeight="1"/>
    <row r="627" ht="15" hidden="1" customHeight="1"/>
    <row r="628" ht="15" hidden="1" customHeight="1"/>
    <row r="629" ht="15" hidden="1" customHeight="1"/>
    <row r="630" ht="15" hidden="1" customHeight="1"/>
    <row r="631" ht="15" hidden="1" customHeight="1"/>
    <row r="632" ht="15" hidden="1" customHeight="1"/>
    <row r="633" ht="15" hidden="1" customHeight="1"/>
    <row r="634" ht="15" hidden="1" customHeight="1"/>
    <row r="635" ht="15" hidden="1" customHeight="1"/>
    <row r="636" ht="15" hidden="1" customHeight="1"/>
    <row r="637" ht="15" hidden="1" customHeight="1"/>
    <row r="638" ht="15" hidden="1" customHeight="1"/>
    <row r="639" ht="15" hidden="1" customHeight="1"/>
    <row r="640" ht="15" hidden="1" customHeight="1"/>
    <row r="641" ht="15" hidden="1" customHeight="1"/>
    <row r="642" ht="15" hidden="1" customHeight="1"/>
    <row r="643" ht="15" hidden="1" customHeight="1"/>
    <row r="644" ht="15" hidden="1" customHeight="1"/>
    <row r="645" ht="15" hidden="1" customHeight="1"/>
    <row r="646" ht="15" hidden="1" customHeight="1"/>
    <row r="647" ht="15" hidden="1" customHeight="1"/>
    <row r="648" ht="15" hidden="1" customHeight="1"/>
    <row r="649" ht="15" hidden="1" customHeight="1"/>
    <row r="650" ht="15" hidden="1" customHeight="1"/>
    <row r="651" ht="15" hidden="1" customHeight="1"/>
    <row r="652" ht="15" hidden="1" customHeight="1"/>
    <row r="653" ht="15" hidden="1" customHeight="1"/>
    <row r="654" ht="15" hidden="1" customHeight="1"/>
    <row r="655" ht="15" hidden="1" customHeight="1"/>
    <row r="656" ht="15" hidden="1" customHeight="1"/>
    <row r="657" ht="15" hidden="1" customHeight="1"/>
    <row r="658" ht="15" hidden="1" customHeight="1"/>
    <row r="659" ht="15" hidden="1" customHeight="1"/>
    <row r="660" ht="15" hidden="1" customHeight="1"/>
    <row r="661" ht="15" hidden="1" customHeight="1"/>
    <row r="662" ht="15" hidden="1" customHeight="1"/>
    <row r="663" ht="15" hidden="1" customHeight="1"/>
    <row r="664" ht="15" hidden="1" customHeight="1"/>
    <row r="665" ht="15" hidden="1" customHeight="1"/>
    <row r="666" ht="15" hidden="1" customHeight="1"/>
    <row r="667" ht="15" hidden="1" customHeight="1"/>
    <row r="668" ht="15" hidden="1" customHeight="1"/>
    <row r="669" ht="15" hidden="1" customHeight="1"/>
    <row r="670" ht="15" hidden="1" customHeight="1"/>
    <row r="671" ht="15" hidden="1" customHeight="1"/>
    <row r="672" ht="15" hidden="1" customHeight="1"/>
    <row r="673" ht="15" hidden="1" customHeight="1"/>
    <row r="674" ht="15" hidden="1" customHeight="1"/>
    <row r="675" ht="15" hidden="1" customHeight="1"/>
    <row r="676" ht="15" hidden="1" customHeight="1"/>
    <row r="677" ht="15" hidden="1" customHeight="1"/>
    <row r="678" ht="15" hidden="1" customHeight="1"/>
    <row r="679" ht="15" hidden="1" customHeight="1"/>
    <row r="680" ht="15" hidden="1" customHeight="1"/>
    <row r="681" ht="15" hidden="1" customHeight="1"/>
    <row r="682" ht="15" hidden="1" customHeight="1"/>
    <row r="683" ht="15" hidden="1" customHeight="1"/>
    <row r="684" ht="15" hidden="1" customHeight="1"/>
    <row r="685" ht="15" hidden="1" customHeight="1"/>
    <row r="686" ht="15" hidden="1" customHeight="1"/>
    <row r="687" ht="15" hidden="1" customHeight="1"/>
    <row r="688" ht="15" hidden="1" customHeight="1"/>
    <row r="689" ht="15" hidden="1" customHeight="1"/>
    <row r="690" ht="15" hidden="1" customHeight="1"/>
    <row r="691" ht="15" hidden="1" customHeight="1"/>
    <row r="692" ht="15" hidden="1" customHeight="1"/>
    <row r="693" ht="15" hidden="1" customHeight="1"/>
    <row r="694" ht="15" hidden="1" customHeight="1"/>
    <row r="695" ht="15" hidden="1" customHeight="1"/>
    <row r="696" ht="15" hidden="1" customHeight="1"/>
    <row r="697" ht="15" hidden="1" customHeight="1"/>
    <row r="698" ht="15" hidden="1" customHeight="1"/>
    <row r="699" ht="15" hidden="1" customHeight="1"/>
    <row r="700" ht="15" hidden="1" customHeight="1"/>
    <row r="701" ht="15" hidden="1" customHeight="1"/>
    <row r="702" ht="15" hidden="1" customHeight="1"/>
    <row r="703" ht="15" hidden="1" customHeight="1"/>
    <row r="704" ht="15" hidden="1" customHeight="1"/>
    <row r="705" ht="15" hidden="1" customHeight="1"/>
    <row r="706" ht="15" hidden="1" customHeight="1"/>
    <row r="707" ht="15" hidden="1" customHeight="1"/>
    <row r="708" ht="15" hidden="1" customHeight="1"/>
    <row r="709" ht="15" hidden="1" customHeight="1"/>
    <row r="710" ht="15" hidden="1" customHeight="1"/>
    <row r="711" ht="15" hidden="1" customHeight="1"/>
    <row r="712" ht="15" hidden="1" customHeight="1"/>
    <row r="713" ht="15" hidden="1" customHeight="1"/>
    <row r="714" ht="15" hidden="1" customHeight="1"/>
    <row r="715" ht="15" hidden="1" customHeight="1"/>
    <row r="716" ht="15" hidden="1" customHeight="1"/>
    <row r="717" ht="15" hidden="1" customHeight="1"/>
    <row r="718" ht="15" hidden="1" customHeight="1"/>
    <row r="719" ht="15" hidden="1" customHeight="1"/>
    <row r="720" ht="15" hidden="1" customHeight="1"/>
    <row r="721" ht="15" hidden="1" customHeight="1"/>
    <row r="722" ht="15" hidden="1" customHeight="1"/>
    <row r="723" ht="15" hidden="1" customHeight="1"/>
    <row r="724" ht="15" hidden="1" customHeight="1"/>
    <row r="725" ht="15" hidden="1" customHeight="1"/>
    <row r="726" ht="15" hidden="1" customHeight="1"/>
    <row r="727" ht="15" hidden="1" customHeight="1"/>
    <row r="728" ht="15" hidden="1" customHeight="1"/>
    <row r="729" ht="15" hidden="1" customHeight="1"/>
    <row r="730" ht="15" hidden="1" customHeight="1"/>
    <row r="731" ht="15" hidden="1" customHeight="1"/>
    <row r="732" ht="15" hidden="1" customHeight="1"/>
    <row r="733" ht="15" hidden="1" customHeight="1"/>
    <row r="734" ht="15" hidden="1" customHeight="1"/>
    <row r="735" ht="15" hidden="1" customHeight="1"/>
    <row r="736" ht="15" hidden="1" customHeight="1"/>
    <row r="737" ht="15" hidden="1" customHeight="1"/>
    <row r="738" ht="15" hidden="1" customHeight="1"/>
    <row r="739" ht="15" hidden="1" customHeight="1"/>
    <row r="740" ht="15" hidden="1" customHeight="1"/>
    <row r="741" ht="15" hidden="1" customHeight="1"/>
    <row r="742" ht="15" hidden="1" customHeight="1"/>
    <row r="743" ht="15" hidden="1" customHeight="1"/>
    <row r="744" ht="15" hidden="1" customHeight="1"/>
    <row r="745" ht="15" hidden="1" customHeight="1"/>
    <row r="746" ht="15" hidden="1" customHeight="1"/>
    <row r="747" ht="15" hidden="1" customHeight="1"/>
    <row r="748" ht="15" hidden="1" customHeight="1"/>
    <row r="749" ht="15" hidden="1" customHeight="1"/>
    <row r="750" ht="15" hidden="1" customHeight="1"/>
    <row r="751" ht="15" hidden="1" customHeight="1"/>
    <row r="752" ht="15" hidden="1" customHeight="1"/>
    <row r="753" ht="15" hidden="1" customHeight="1"/>
    <row r="754" ht="15" hidden="1" customHeight="1"/>
    <row r="755" ht="15" hidden="1" customHeight="1"/>
    <row r="756" ht="15" hidden="1" customHeight="1"/>
    <row r="757" ht="15" hidden="1" customHeight="1"/>
    <row r="758" ht="15" hidden="1" customHeight="1"/>
    <row r="759" ht="15" hidden="1" customHeight="1"/>
    <row r="760" ht="15" hidden="1" customHeight="1"/>
    <row r="761" ht="15" hidden="1" customHeight="1"/>
    <row r="762" ht="15" hidden="1" customHeight="1"/>
    <row r="763" ht="15" hidden="1" customHeight="1"/>
    <row r="764" ht="15" hidden="1" customHeight="1"/>
    <row r="765" ht="15" hidden="1" customHeight="1"/>
    <row r="766" ht="15" hidden="1" customHeight="1"/>
    <row r="767" ht="15" hidden="1" customHeight="1"/>
    <row r="768" ht="15" hidden="1" customHeight="1"/>
    <row r="769" ht="15" hidden="1" customHeight="1"/>
    <row r="770" ht="15" hidden="1" customHeight="1"/>
    <row r="771" ht="15" hidden="1" customHeight="1"/>
    <row r="772" ht="15" hidden="1" customHeight="1"/>
    <row r="773" ht="15" hidden="1" customHeight="1"/>
    <row r="774" ht="15" hidden="1" customHeight="1"/>
    <row r="775" ht="15" hidden="1" customHeight="1"/>
    <row r="776" ht="15" hidden="1" customHeight="1"/>
    <row r="777" ht="15" hidden="1" customHeight="1"/>
    <row r="778" ht="15" hidden="1" customHeight="1"/>
    <row r="779" ht="15" hidden="1" customHeight="1"/>
    <row r="780" ht="15" hidden="1" customHeight="1"/>
    <row r="781" ht="15" hidden="1" customHeight="1"/>
    <row r="782" ht="15" hidden="1" customHeight="1"/>
    <row r="783" ht="15" hidden="1" customHeight="1"/>
    <row r="784" ht="15" hidden="1" customHeight="1"/>
    <row r="785" ht="15" hidden="1" customHeight="1"/>
    <row r="786" ht="15" hidden="1" customHeight="1"/>
    <row r="787" ht="15" hidden="1" customHeight="1"/>
    <row r="788" ht="15" hidden="1" customHeight="1"/>
    <row r="789" ht="15" hidden="1" customHeight="1"/>
    <row r="790" ht="15" hidden="1" customHeight="1"/>
    <row r="791" ht="15" hidden="1" customHeight="1"/>
    <row r="792" ht="15" hidden="1" customHeight="1"/>
    <row r="793" ht="15" hidden="1" customHeight="1"/>
    <row r="794" ht="15" hidden="1" customHeight="1"/>
    <row r="795" ht="15" hidden="1" customHeight="1"/>
    <row r="796" ht="15" hidden="1" customHeight="1"/>
    <row r="797" ht="15" hidden="1" customHeight="1"/>
    <row r="798" ht="15" hidden="1" customHeight="1"/>
    <row r="799" ht="15" hidden="1" customHeight="1"/>
    <row r="800" ht="15" hidden="1" customHeight="1"/>
    <row r="801" ht="15" hidden="1" customHeight="1"/>
    <row r="802" ht="15" hidden="1" customHeight="1"/>
    <row r="803" ht="15" hidden="1" customHeight="1"/>
    <row r="804" ht="15" hidden="1" customHeight="1"/>
    <row r="805" ht="15" hidden="1" customHeight="1"/>
    <row r="806" ht="15" hidden="1" customHeight="1"/>
    <row r="807" ht="15" hidden="1" customHeight="1"/>
    <row r="808" ht="15" hidden="1" customHeight="1"/>
    <row r="809" ht="15" hidden="1" customHeight="1"/>
    <row r="810" ht="15" hidden="1" customHeight="1"/>
    <row r="811" ht="15" hidden="1" customHeight="1"/>
    <row r="812" ht="15" hidden="1" customHeight="1"/>
    <row r="813" ht="15" hidden="1" customHeight="1"/>
    <row r="814" ht="15" hidden="1" customHeight="1"/>
    <row r="815" ht="15" hidden="1" customHeight="1"/>
    <row r="816" ht="15" hidden="1" customHeight="1"/>
    <row r="817" ht="15" hidden="1" customHeight="1"/>
    <row r="818" ht="15" hidden="1" customHeight="1"/>
    <row r="819" ht="15" hidden="1" customHeight="1"/>
    <row r="820" ht="15" hidden="1" customHeight="1"/>
    <row r="821" ht="15" hidden="1" customHeight="1"/>
    <row r="822" ht="15" hidden="1" customHeight="1"/>
    <row r="823" ht="15" hidden="1" customHeight="1"/>
    <row r="824" ht="15" hidden="1" customHeight="1"/>
    <row r="825" ht="15" hidden="1" customHeight="1"/>
    <row r="826" ht="15" hidden="1" customHeight="1"/>
    <row r="827" ht="15" hidden="1" customHeight="1"/>
    <row r="828" ht="15" hidden="1" customHeight="1"/>
    <row r="829" ht="15" hidden="1" customHeight="1"/>
    <row r="830" ht="15" hidden="1" customHeight="1"/>
    <row r="831" ht="15" hidden="1" customHeight="1"/>
    <row r="832" ht="15" hidden="1" customHeight="1"/>
    <row r="833" ht="15" hidden="1" customHeight="1"/>
    <row r="834" ht="15" hidden="1" customHeight="1"/>
    <row r="835" ht="15" hidden="1" customHeight="1"/>
    <row r="836" ht="15" hidden="1" customHeight="1"/>
    <row r="837" ht="15" hidden="1" customHeight="1"/>
    <row r="838" ht="15" hidden="1" customHeight="1"/>
    <row r="839" ht="15" hidden="1" customHeight="1"/>
    <row r="840" ht="15" hidden="1" customHeight="1"/>
    <row r="841" ht="15" hidden="1" customHeight="1"/>
    <row r="842" ht="15" hidden="1" customHeight="1"/>
    <row r="843" ht="15" hidden="1" customHeight="1"/>
    <row r="844" ht="15" hidden="1" customHeight="1"/>
    <row r="845" ht="15" hidden="1" customHeight="1"/>
    <row r="846" ht="15" hidden="1" customHeight="1"/>
    <row r="847" ht="15" hidden="1" customHeight="1"/>
    <row r="848" ht="15" hidden="1" customHeight="1"/>
    <row r="849" ht="15" hidden="1" customHeight="1"/>
    <row r="850" ht="15" hidden="1" customHeight="1"/>
    <row r="851" ht="15" hidden="1" customHeight="1"/>
    <row r="852" ht="15" hidden="1" customHeight="1"/>
    <row r="853" ht="15" hidden="1" customHeight="1"/>
    <row r="854" ht="15" hidden="1" customHeight="1"/>
    <row r="855" ht="15" hidden="1" customHeight="1"/>
    <row r="856" ht="15" hidden="1" customHeight="1"/>
    <row r="857" ht="15" hidden="1" customHeight="1"/>
    <row r="858" ht="15" hidden="1" customHeight="1"/>
    <row r="859" ht="15" hidden="1" customHeight="1"/>
    <row r="860" ht="15" hidden="1" customHeight="1"/>
    <row r="861" ht="15" hidden="1" customHeight="1"/>
    <row r="862" ht="15" hidden="1" customHeight="1"/>
    <row r="863" ht="15" hidden="1" customHeight="1"/>
    <row r="864" ht="15" hidden="1" customHeight="1"/>
    <row r="865" ht="15" hidden="1" customHeight="1"/>
    <row r="866" ht="15" hidden="1" customHeight="1"/>
    <row r="867" ht="15" hidden="1" customHeight="1"/>
    <row r="868" ht="15" hidden="1" customHeight="1"/>
    <row r="869" ht="15" hidden="1" customHeight="1"/>
    <row r="870" ht="15" hidden="1" customHeight="1"/>
    <row r="871" ht="15" hidden="1" customHeight="1"/>
    <row r="872" ht="15" hidden="1" customHeight="1"/>
    <row r="873" ht="15" hidden="1" customHeight="1"/>
    <row r="874" ht="15" hidden="1" customHeight="1"/>
    <row r="875" ht="15" hidden="1" customHeight="1"/>
    <row r="876" ht="15" hidden="1" customHeight="1"/>
    <row r="877" ht="15" hidden="1" customHeight="1"/>
    <row r="878" ht="15" hidden="1" customHeight="1"/>
    <row r="879" ht="15" hidden="1" customHeight="1"/>
    <row r="880" ht="15" hidden="1" customHeight="1"/>
    <row r="881" ht="15" hidden="1" customHeight="1"/>
    <row r="882" ht="15" hidden="1" customHeight="1"/>
    <row r="883" ht="15" hidden="1" customHeight="1"/>
    <row r="884" ht="15" hidden="1" customHeight="1"/>
    <row r="885" ht="15" hidden="1" customHeight="1"/>
    <row r="886" ht="15" hidden="1" customHeight="1"/>
    <row r="887" ht="15" hidden="1" customHeight="1"/>
    <row r="888" ht="15" hidden="1" customHeight="1"/>
    <row r="889" ht="15" hidden="1" customHeight="1"/>
    <row r="890" ht="15" hidden="1" customHeight="1"/>
    <row r="891" ht="15" hidden="1" customHeight="1"/>
    <row r="892" ht="15" hidden="1" customHeight="1"/>
    <row r="893" ht="15" hidden="1" customHeight="1"/>
    <row r="894" ht="15" hidden="1" customHeight="1"/>
    <row r="895" ht="15" hidden="1" customHeight="1"/>
    <row r="896" ht="15" hidden="1" customHeight="1"/>
    <row r="897" ht="15" hidden="1" customHeight="1"/>
    <row r="898" ht="15" hidden="1" customHeight="1"/>
    <row r="899" ht="15" hidden="1" customHeight="1"/>
    <row r="900" ht="15" hidden="1" customHeight="1"/>
    <row r="901" ht="15" hidden="1" customHeight="1"/>
    <row r="902" ht="15" hidden="1" customHeight="1"/>
    <row r="903" ht="15" hidden="1" customHeight="1"/>
    <row r="904" ht="15" hidden="1" customHeight="1"/>
    <row r="905" ht="15" hidden="1" customHeight="1"/>
    <row r="906" ht="15" hidden="1" customHeight="1"/>
    <row r="907" ht="15" hidden="1" customHeight="1"/>
    <row r="908" ht="15" hidden="1" customHeight="1"/>
    <row r="909" ht="15" hidden="1" customHeight="1"/>
    <row r="910" ht="15" hidden="1" customHeight="1"/>
    <row r="911" ht="15" hidden="1" customHeight="1"/>
    <row r="912" ht="15" hidden="1" customHeight="1"/>
    <row r="913" ht="15" hidden="1" customHeight="1"/>
    <row r="914" ht="15" hidden="1" customHeight="1"/>
    <row r="915" ht="15" hidden="1" customHeight="1"/>
    <row r="916" ht="15" hidden="1" customHeight="1"/>
    <row r="917" ht="15" hidden="1" customHeight="1"/>
    <row r="918" ht="15" hidden="1" customHeight="1"/>
    <row r="919" ht="15" hidden="1" customHeight="1"/>
    <row r="920" ht="15" hidden="1" customHeight="1"/>
    <row r="921" ht="15" hidden="1" customHeight="1"/>
    <row r="922" ht="15" hidden="1" customHeight="1"/>
    <row r="923" ht="15" hidden="1" customHeight="1"/>
    <row r="924" ht="15" hidden="1" customHeight="1"/>
    <row r="925" ht="15" hidden="1" customHeight="1"/>
    <row r="926" ht="15" hidden="1" customHeight="1"/>
    <row r="927" ht="15" hidden="1" customHeight="1"/>
    <row r="928" ht="15" hidden="1" customHeight="1"/>
    <row r="929" ht="15" hidden="1" customHeight="1"/>
    <row r="930" ht="15" hidden="1" customHeight="1"/>
    <row r="931" ht="15" hidden="1" customHeight="1"/>
    <row r="932" ht="15" hidden="1" customHeight="1"/>
    <row r="933" ht="15" hidden="1" customHeight="1"/>
    <row r="934" ht="15" hidden="1" customHeight="1"/>
    <row r="935" ht="15" hidden="1" customHeight="1"/>
    <row r="936" ht="15" hidden="1" customHeight="1"/>
    <row r="937" ht="15" hidden="1" customHeight="1"/>
    <row r="938" ht="15" hidden="1" customHeight="1"/>
    <row r="939" ht="15" hidden="1" customHeight="1"/>
    <row r="940" ht="15" hidden="1" customHeight="1"/>
    <row r="941" ht="15" hidden="1" customHeight="1"/>
    <row r="942" ht="15" hidden="1" customHeight="1"/>
    <row r="943" ht="15" hidden="1" customHeight="1"/>
    <row r="944" ht="15" hidden="1" customHeight="1"/>
    <row r="945" ht="15" hidden="1" customHeight="1"/>
    <row r="946" ht="15" hidden="1" customHeight="1"/>
    <row r="947" ht="15" hidden="1" customHeight="1"/>
    <row r="948" ht="15" hidden="1" customHeight="1"/>
    <row r="949" ht="15" hidden="1" customHeight="1"/>
    <row r="950" ht="15" hidden="1" customHeight="1"/>
    <row r="951" ht="15" hidden="1" customHeight="1"/>
    <row r="952" ht="15" hidden="1" customHeight="1"/>
    <row r="953" ht="15" hidden="1" customHeight="1"/>
    <row r="954" ht="15" hidden="1" customHeight="1"/>
    <row r="955" ht="15" hidden="1" customHeight="1"/>
    <row r="956" ht="15" hidden="1" customHeight="1"/>
    <row r="957" ht="15" hidden="1" customHeight="1"/>
    <row r="958" ht="15" hidden="1" customHeight="1"/>
    <row r="959" ht="15" hidden="1" customHeight="1"/>
    <row r="960" ht="15" hidden="1" customHeight="1"/>
    <row r="961" ht="15" hidden="1" customHeight="1"/>
    <row r="962" ht="15" hidden="1" customHeight="1"/>
    <row r="963" ht="15" hidden="1" customHeight="1"/>
    <row r="964" ht="15" hidden="1" customHeight="1"/>
    <row r="965" ht="15" hidden="1" customHeight="1"/>
    <row r="966" ht="15" hidden="1" customHeight="1"/>
    <row r="967" ht="15" hidden="1" customHeight="1"/>
    <row r="968" ht="15" hidden="1" customHeight="1"/>
    <row r="969" ht="15" hidden="1" customHeight="1"/>
    <row r="970" ht="15" hidden="1" customHeight="1"/>
    <row r="971" ht="15" hidden="1" customHeight="1"/>
    <row r="972" ht="15" hidden="1" customHeight="1"/>
    <row r="973" ht="15" hidden="1" customHeight="1"/>
    <row r="974" ht="15" hidden="1" customHeight="1"/>
    <row r="975" ht="15" hidden="1" customHeight="1"/>
    <row r="976" ht="15" hidden="1" customHeight="1"/>
    <row r="977" ht="15" hidden="1" customHeight="1"/>
    <row r="978" ht="15" hidden="1" customHeight="1"/>
    <row r="979" ht="15" hidden="1" customHeight="1"/>
    <row r="980" ht="15" hidden="1" customHeight="1"/>
    <row r="981" ht="15" hidden="1" customHeight="1"/>
    <row r="982" ht="15" hidden="1" customHeight="1"/>
    <row r="983" ht="15" hidden="1" customHeight="1"/>
    <row r="984" ht="15" hidden="1" customHeight="1"/>
    <row r="985" ht="15" hidden="1" customHeight="1"/>
    <row r="986" ht="15" hidden="1" customHeight="1"/>
    <row r="987" ht="15" hidden="1" customHeight="1"/>
    <row r="988" ht="15" hidden="1" customHeight="1"/>
    <row r="989" ht="15" hidden="1" customHeight="1"/>
    <row r="990" ht="15" hidden="1" customHeight="1"/>
    <row r="991" ht="15" hidden="1" customHeight="1"/>
    <row r="992" ht="15" hidden="1" customHeight="1"/>
    <row r="993" ht="15" hidden="1" customHeight="1"/>
    <row r="994" ht="15" hidden="1" customHeight="1"/>
    <row r="995" ht="15" hidden="1" customHeight="1"/>
    <row r="996" ht="15" hidden="1" customHeight="1"/>
    <row r="997" ht="15" hidden="1" customHeight="1"/>
    <row r="998" ht="15" hidden="1" customHeight="1"/>
    <row r="999" ht="15" hidden="1" customHeight="1"/>
    <row r="1000" ht="15" hidden="1" customHeight="1"/>
    <row r="1001" ht="15" hidden="1" customHeight="1"/>
    <row r="1002" ht="15" hidden="1" customHeight="1"/>
    <row r="1003" ht="15" hidden="1" customHeight="1"/>
    <row r="1004" ht="15" hidden="1" customHeight="1"/>
    <row r="1005" ht="15" hidden="1" customHeight="1"/>
    <row r="1006" ht="15" hidden="1" customHeight="1"/>
    <row r="1007" ht="15" hidden="1" customHeight="1"/>
    <row r="1008" ht="15" hidden="1" customHeight="1"/>
    <row r="1009" ht="15" hidden="1" customHeight="1"/>
    <row r="1010" ht="15" hidden="1" customHeight="1"/>
    <row r="1011" ht="15" hidden="1" customHeight="1"/>
    <row r="1012" ht="15" hidden="1" customHeight="1"/>
    <row r="1013" ht="15" hidden="1" customHeight="1"/>
    <row r="1014" ht="15" hidden="1" customHeight="1"/>
    <row r="1015" ht="15" hidden="1" customHeight="1"/>
    <row r="1016" ht="15" hidden="1" customHeight="1"/>
    <row r="1017" ht="15" hidden="1" customHeight="1"/>
    <row r="1018" ht="15" hidden="1" customHeight="1"/>
    <row r="1019" ht="15" hidden="1" customHeight="1"/>
    <row r="1020" ht="15" hidden="1" customHeight="1"/>
    <row r="1021" ht="15" hidden="1" customHeight="1"/>
    <row r="1022" ht="15" hidden="1" customHeight="1"/>
    <row r="1023" ht="15" hidden="1" customHeight="1"/>
    <row r="1024" ht="15" hidden="1" customHeight="1"/>
    <row r="1025" ht="15" hidden="1" customHeight="1"/>
    <row r="1026" ht="15" hidden="1" customHeight="1"/>
    <row r="1027" ht="15" hidden="1" customHeight="1"/>
    <row r="1028" ht="15" hidden="1" customHeight="1"/>
    <row r="1029" ht="15" hidden="1" customHeight="1"/>
    <row r="1030" ht="15" hidden="1" customHeight="1"/>
    <row r="1031" ht="15" hidden="1" customHeight="1"/>
    <row r="1032" ht="15" hidden="1" customHeight="1"/>
    <row r="1033" ht="15" hidden="1" customHeight="1"/>
    <row r="1034" ht="15" hidden="1" customHeight="1"/>
    <row r="1035" ht="15" hidden="1" customHeight="1"/>
    <row r="1036" ht="15" hidden="1" customHeight="1"/>
    <row r="1037" ht="15" hidden="1" customHeight="1"/>
    <row r="1038" ht="15" hidden="1" customHeight="1"/>
    <row r="1039" ht="15" hidden="1" customHeight="1"/>
    <row r="1040" ht="15" hidden="1" customHeight="1"/>
    <row r="1041" ht="15" hidden="1" customHeight="1"/>
    <row r="1042" ht="15" hidden="1" customHeight="1"/>
    <row r="1043" ht="15" hidden="1" customHeight="1"/>
    <row r="1044" ht="15" hidden="1" customHeight="1"/>
    <row r="1045" ht="15" hidden="1" customHeight="1"/>
    <row r="1046" ht="15" hidden="1" customHeight="1"/>
    <row r="1047" ht="15" hidden="1" customHeight="1"/>
    <row r="1048" ht="15" hidden="1" customHeight="1"/>
    <row r="1049" ht="15" hidden="1" customHeight="1"/>
    <row r="1050" ht="15" hidden="1" customHeight="1"/>
    <row r="1051" ht="15" hidden="1" customHeight="1"/>
    <row r="1052" ht="15" hidden="1" customHeight="1"/>
    <row r="1053" ht="15" hidden="1" customHeight="1"/>
    <row r="1054" ht="15" hidden="1" customHeight="1"/>
    <row r="1055" ht="15" hidden="1" customHeight="1"/>
    <row r="1056" ht="15" hidden="1" customHeight="1"/>
    <row r="1057" ht="15" hidden="1" customHeight="1"/>
    <row r="1058" ht="15" hidden="1" customHeight="1"/>
    <row r="1059" ht="15" hidden="1" customHeight="1"/>
    <row r="1060" ht="15" hidden="1" customHeight="1"/>
    <row r="1061" ht="15" hidden="1" customHeight="1"/>
    <row r="1062" ht="15" hidden="1" customHeight="1"/>
    <row r="1063" ht="15" hidden="1" customHeight="1"/>
    <row r="1064" ht="15" hidden="1" customHeight="1"/>
    <row r="1065" ht="15" hidden="1" customHeight="1"/>
    <row r="1066" ht="15" hidden="1" customHeight="1"/>
    <row r="1067" ht="15" hidden="1" customHeight="1"/>
    <row r="1068" ht="15" hidden="1" customHeight="1"/>
    <row r="1069" ht="15" hidden="1" customHeight="1"/>
    <row r="1070" ht="15" hidden="1" customHeight="1"/>
    <row r="1071" ht="15" hidden="1" customHeight="1"/>
    <row r="1072" ht="15" hidden="1" customHeight="1"/>
    <row r="1073" ht="15" hidden="1" customHeight="1"/>
    <row r="1074" ht="15" hidden="1" customHeight="1"/>
    <row r="1075" ht="15" hidden="1" customHeight="1"/>
    <row r="1076" ht="15" hidden="1" customHeight="1"/>
    <row r="1077" ht="15" hidden="1" customHeight="1"/>
    <row r="1078" ht="15" hidden="1" customHeight="1"/>
    <row r="1079" ht="15" hidden="1" customHeight="1"/>
    <row r="1080" ht="15" hidden="1" customHeight="1"/>
    <row r="1081" ht="15" hidden="1" customHeight="1"/>
    <row r="1082" ht="15" hidden="1" customHeight="1"/>
    <row r="1083" ht="15" hidden="1" customHeight="1"/>
    <row r="1084" ht="15" hidden="1" customHeight="1"/>
    <row r="1085" ht="15" hidden="1" customHeight="1"/>
    <row r="1086" ht="15" hidden="1" customHeight="1"/>
    <row r="1087" ht="15" hidden="1" customHeight="1"/>
    <row r="1088" ht="15" hidden="1" customHeight="1"/>
    <row r="1089" ht="15" hidden="1" customHeight="1"/>
    <row r="1090" ht="15" hidden="1" customHeight="1"/>
    <row r="1091" ht="15" hidden="1" customHeight="1"/>
    <row r="1092" ht="15" hidden="1" customHeight="1"/>
    <row r="1093" ht="15" hidden="1" customHeight="1"/>
    <row r="1094" ht="15" hidden="1" customHeight="1"/>
    <row r="1095" ht="15" hidden="1" customHeight="1"/>
    <row r="1096" ht="15" hidden="1" customHeight="1"/>
    <row r="1097" ht="15" hidden="1" customHeight="1"/>
    <row r="1098" ht="15" hidden="1" customHeight="1"/>
    <row r="1099" ht="15" hidden="1" customHeight="1"/>
    <row r="1100" ht="15" hidden="1" customHeight="1"/>
    <row r="1101" ht="15" hidden="1" customHeight="1"/>
    <row r="1102" ht="15" hidden="1" customHeight="1"/>
    <row r="1103" ht="15" hidden="1" customHeight="1"/>
    <row r="1104" ht="15" hidden="1" customHeight="1"/>
    <row r="1105" ht="15" hidden="1" customHeight="1"/>
    <row r="1106" ht="15" hidden="1" customHeight="1"/>
    <row r="1107" ht="15" hidden="1" customHeight="1"/>
    <row r="1108" ht="15" hidden="1" customHeight="1"/>
    <row r="1109" ht="15" hidden="1" customHeight="1"/>
    <row r="1110" ht="15" hidden="1" customHeight="1"/>
    <row r="1111" ht="15" hidden="1" customHeight="1"/>
    <row r="1112" ht="15" hidden="1" customHeight="1"/>
  </sheetData>
  <dataConsolidate link="1"/>
  <mergeCells count="2">
    <mergeCell ref="D2:M3"/>
    <mergeCell ref="C2:C3"/>
  </mergeCells>
  <pageMargins left="0.70866141732283472" right="0.70866141732283472" top="0.74803149606299213" bottom="0.74803149606299213" header="0.31496062992125984" footer="0.31496062992125984"/>
  <pageSetup paperSize="9" scale="51" fitToHeight="0" orientation="landscape" r:id="rId1"/>
  <rowBreaks count="1" manualBreakCount="1">
    <brk id="59" min="1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17</vt:i4>
      </vt:variant>
    </vt:vector>
  </HeadingPairs>
  <TitlesOfParts>
    <vt:vector size="25" baseType="lpstr">
      <vt:lpstr>Титульный лист</vt:lpstr>
      <vt:lpstr>Содержание</vt:lpstr>
      <vt:lpstr>Обращение</vt:lpstr>
      <vt:lpstr>Программы финансирования</vt:lpstr>
      <vt:lpstr>Руководство</vt:lpstr>
      <vt:lpstr>Параметры займа</vt:lpstr>
      <vt:lpstr>Квартальная отчетность</vt:lpstr>
      <vt:lpstr>Выводы</vt:lpstr>
      <vt:lpstr>Дата_погашения_Займа</vt:lpstr>
      <vt:lpstr>Дата_получения_Займа</vt:lpstr>
      <vt:lpstr>Единица_измерения</vt:lpstr>
      <vt:lpstr>Выводы!Заголовки_для_печати</vt:lpstr>
      <vt:lpstr>Руководство!Заголовки_для_печати</vt:lpstr>
      <vt:lpstr>Имя_Проекта</vt:lpstr>
      <vt:lpstr>Кварталов_в_году</vt:lpstr>
      <vt:lpstr>Месяцев_в_году</vt:lpstr>
      <vt:lpstr>Месяцев_в_квартале</vt:lpstr>
      <vt:lpstr>Выводы!Область_печати</vt:lpstr>
      <vt:lpstr>Обращение!Область_печати</vt:lpstr>
      <vt:lpstr>'Параметры займа'!Область_печати</vt:lpstr>
      <vt:lpstr>'Программы финансирования'!Область_печати</vt:lpstr>
      <vt:lpstr>Руководство!Область_печати</vt:lpstr>
      <vt:lpstr>'Титульный лист'!Область_печати</vt:lpstr>
      <vt:lpstr>Программа</vt:lpstr>
      <vt:lpstr>Регион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Кудрявцев Роман Александрович</dc:creator>
  <cp:lastModifiedBy>aid89607030909@outlook.com</cp:lastModifiedBy>
  <cp:lastPrinted>2021-04-25T21:18:39Z</cp:lastPrinted>
  <dcterms:created xsi:type="dcterms:W3CDTF">2015-06-05T18:19:34Z</dcterms:created>
  <dcterms:modified xsi:type="dcterms:W3CDTF">2021-11-01T11:38:51Z</dcterms:modified>
</cp:coreProperties>
</file>